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57917886-CBFA-49D8-B9DB-0CFBC7BAD64D}" xr6:coauthVersionLast="47" xr6:coauthVersionMax="47" xr10:uidLastSave="{00000000-0000-0000-0000-000000000000}"/>
  <bookViews>
    <workbookView xWindow="4845" yWindow="2190" windowWidth="21270" windowHeight="12570" xr2:uid="{00000000-000D-0000-FFFF-FFFF00000000}"/>
  </bookViews>
  <sheets>
    <sheet name="2024 Exp" sheetId="1" r:id="rId1"/>
    <sheet name="2024-Payroll" sheetId="2" state="hidden" r:id="rId2"/>
  </sheets>
  <definedNames>
    <definedName name="_xlnm.Print_Area" localSheetId="0">'2024 Exp'!$A$1:$R$131</definedName>
    <definedName name="_xlnm.Print_Area" localSheetId="1">'2024-Payroll'!$A$1:$R$44</definedName>
    <definedName name="_xlnm.Print_Titles" localSheetId="0">'2024 Exp'!$2:$5</definedName>
    <definedName name="_xlnm.Print_Titles" localSheetId="1">'2024-Payroll'!$1:$1</definedName>
    <definedName name="QB_COLUMN_59200" localSheetId="0" hidden="1">'2024 Exp'!#REF!</definedName>
    <definedName name="QB_COLUMN_76210" localSheetId="0" hidden="1">'2024 Exp'!$N$5</definedName>
    <definedName name="QB_DATA_0" localSheetId="0" hidden="1">'2024 Exp'!$10:$10,'2024 Exp'!#REF!,'2024 Exp'!$12:$12,'2024 Exp'!$13:$13,'2024 Exp'!$14:$14,'2024 Exp'!$20:$20,'2024 Exp'!$21:$21,'2024 Exp'!$22:$22,'2024 Exp'!$23:$23,'2024 Exp'!$24:$24,'2024 Exp'!$25:$25,'2024 Exp'!$26:$26,'2024 Exp'!$27:$27,'2024 Exp'!$28:$28,'2024 Exp'!$29:$29,'2024 Exp'!$30:$30</definedName>
    <definedName name="QB_DATA_1" localSheetId="0" hidden="1">'2024 Exp'!$31:$31,'2024 Exp'!$32:$32,'2024 Exp'!$33:$33,'2024 Exp'!#REF!,'2024 Exp'!$34:$34,'2024 Exp'!$35:$35,'2024 Exp'!$38:$38,'2024 Exp'!$39:$39,'2024 Exp'!$40:$40,'2024 Exp'!$41:$41,'2024 Exp'!$42:$42,'2024 Exp'!$43:$43,'2024 Exp'!$44:$44,'2024 Exp'!$45:$45,'2024 Exp'!$48:$48,'2024 Exp'!$49:$49</definedName>
    <definedName name="QB_DATA_2" localSheetId="0" hidden="1">'2024 Exp'!$50:$50,'2024 Exp'!$53:$53,'2024 Exp'!$54:$54,'2024 Exp'!#REF!,'2024 Exp'!$55:$55,'2024 Exp'!$56:$56,'2024 Exp'!$58:$58,'2024 Exp'!$59:$59,'2024 Exp'!$63:$63,'2024 Exp'!$64:$64,'2024 Exp'!$65:$65,'2024 Exp'!$70:$70,'2024 Exp'!#REF!,'2024 Exp'!#REF!,'2024 Exp'!#REF!,'2024 Exp'!#REF!</definedName>
    <definedName name="QB_DATA_3" localSheetId="0" hidden="1">'2024 Exp'!$76:$76,'2024 Exp'!#REF!,'2024 Exp'!$78:$78,'2024 Exp'!$82:$82,'2024 Exp'!$83:$83,'2024 Exp'!$84:$84,'2024 Exp'!#REF!,'2024 Exp'!$85:$85,'2024 Exp'!$86:$86,'2024 Exp'!$87:$87,'2024 Exp'!#REF!,'2024 Exp'!$90:$90,'2024 Exp'!$92:$92,'2024 Exp'!$94:$94,'2024 Exp'!$97:$97,'2024 Exp'!$98:$98</definedName>
    <definedName name="QB_DATA_4" localSheetId="0" hidden="1">'2024 Exp'!$99:$99,'2024 Exp'!#REF!,'2024 Exp'!#REF!,'2024 Exp'!#REF!,'2024 Exp'!#REF!,'2024 Exp'!#REF!,'2024 Exp'!$103:$103,'2024 Exp'!$105:$105,'2024 Exp'!$106:$106,'2024 Exp'!#REF!,'2024 Exp'!#REF!,'2024 Exp'!$107:$107,'2024 Exp'!$108:$108,'2024 Exp'!$110:$110,'2024 Exp'!$111:$111,'2024 Exp'!#REF!</definedName>
    <definedName name="QB_DATA_5" localSheetId="0" hidden="1">'2024 Exp'!$115:$115,'2024 Exp'!$116:$116,'2024 Exp'!$117:$117,'2024 Exp'!$118:$118,'2024 Exp'!$119:$119,'2024 Exp'!$120:$120,'2024 Exp'!$121:$121,'2024 Exp'!$124:$124,'2024 Exp'!#REF!,'2024 Exp'!$125:$125,'2024 Exp'!#REF!</definedName>
    <definedName name="QB_FORMULA_0" localSheetId="0" hidden="1">'2024 Exp'!#REF!,'2024 Exp'!$N$15,'2024 Exp'!#REF!,'2024 Exp'!$N$16,'2024 Exp'!#REF!,'2024 Exp'!#REF!,'2024 Exp'!#REF!,'2024 Exp'!$N$36,'2024 Exp'!#REF!,'2024 Exp'!$N$46,'2024 Exp'!#REF!,'2024 Exp'!$N$51,'2024 Exp'!#REF!,'2024 Exp'!$N$61,'2024 Exp'!#REF!,'2024 Exp'!$N$66</definedName>
    <definedName name="QB_FORMULA_1" localSheetId="0" hidden="1">'2024 Exp'!#REF!,'2024 Exp'!$N$67,'2024 Exp'!#REF!,'2024 Exp'!$N$71,'2024 Exp'!#REF!,'2024 Exp'!$N$80,'2024 Exp'!#REF!,'2024 Exp'!$N$88,'2024 Exp'!#REF!,'2024 Exp'!$N$101,'2024 Exp'!#REF!,'2024 Exp'!$N$113,'2024 Exp'!#REF!,'2024 Exp'!$N$122,'2024 Exp'!#REF!,'2024 Exp'!$N$127</definedName>
    <definedName name="QB_FORMULA_2" localSheetId="0" hidden="1">'2024 Exp'!#REF!,'2024 Exp'!$N$128,'2024 Exp'!#REF!,'2024 Exp'!$N$130,'2024 Exp'!#REF!,'2024 Exp'!$N$131,'2024 Exp'!#REF!,'2024 Exp'!#REF!</definedName>
    <definedName name="QB_ROW_106050" localSheetId="0" hidden="1">'2024 Exp'!$F$75</definedName>
    <definedName name="QB_ROW_106350" localSheetId="0" hidden="1">'2024 Exp'!$F$80</definedName>
    <definedName name="QB_ROW_107260" localSheetId="0" hidden="1">'2024 Exp'!$G$76</definedName>
    <definedName name="QB_ROW_108260" localSheetId="0" hidden="1">'2024 Exp'!#REF!</definedName>
    <definedName name="QB_ROW_109260" localSheetId="0" hidden="1">'2024 Exp'!$G$78</definedName>
    <definedName name="QB_ROW_110050" localSheetId="0" hidden="1">'2024 Exp'!$F$81</definedName>
    <definedName name="QB_ROW_110350" localSheetId="0" hidden="1">'2024 Exp'!$F$88</definedName>
    <definedName name="QB_ROW_111260" localSheetId="0" hidden="1">'2024 Exp'!$G$82</definedName>
    <definedName name="QB_ROW_112260" localSheetId="0" hidden="1">'2024 Exp'!$G$83</definedName>
    <definedName name="QB_ROW_113260" localSheetId="0" hidden="1">'2024 Exp'!$G$84</definedName>
    <definedName name="QB_ROW_116260" localSheetId="0" hidden="1">'2024 Exp'!#REF!</definedName>
    <definedName name="QB_ROW_117260" localSheetId="0" hidden="1">'2024 Exp'!$G$86</definedName>
    <definedName name="QB_ROW_118260" localSheetId="0" hidden="1">'2024 Exp'!#REF!</definedName>
    <definedName name="QB_ROW_120260" localSheetId="0" hidden="1">'2024 Exp'!$G$92</definedName>
    <definedName name="QB_ROW_121050" localSheetId="0" hidden="1">'2024 Exp'!$F$89</definedName>
    <definedName name="QB_ROW_121350" localSheetId="0" hidden="1">'2024 Exp'!$F$101</definedName>
    <definedName name="QB_ROW_123260" localSheetId="0" hidden="1">'2024 Exp'!$G$94</definedName>
    <definedName name="QB_ROW_124260" localSheetId="0" hidden="1">'2024 Exp'!$G$97</definedName>
    <definedName name="QB_ROW_126260" localSheetId="0" hidden="1">'2024 Exp'!#REF!</definedName>
    <definedName name="QB_ROW_127260" localSheetId="0" hidden="1">'2024 Exp'!#REF!</definedName>
    <definedName name="QB_ROW_128260" localSheetId="0" hidden="1">'2024 Exp'!#REF!</definedName>
    <definedName name="QB_ROW_129050" localSheetId="0" hidden="1">'2024 Exp'!$F$102</definedName>
    <definedName name="QB_ROW_129350" localSheetId="0" hidden="1">'2024 Exp'!$F$113</definedName>
    <definedName name="QB_ROW_130260" localSheetId="0" hidden="1">'2024 Exp'!$G$103</definedName>
    <definedName name="QB_ROW_131260" localSheetId="0" hidden="1">'2024 Exp'!$G$105</definedName>
    <definedName name="QB_ROW_132260" localSheetId="0" hidden="1">'2024 Exp'!$G$106</definedName>
    <definedName name="QB_ROW_133260" localSheetId="0" hidden="1">'2024 Exp'!#REF!</definedName>
    <definedName name="QB_ROW_134050" localSheetId="0" hidden="1">'2024 Exp'!$F$114</definedName>
    <definedName name="QB_ROW_134350" localSheetId="0" hidden="1">'2024 Exp'!$F$122</definedName>
    <definedName name="QB_ROW_135260" localSheetId="0" hidden="1">'2024 Exp'!$G$115</definedName>
    <definedName name="QB_ROW_136260" localSheetId="0" hidden="1">'2024 Exp'!$G$119</definedName>
    <definedName name="QB_ROW_137260" localSheetId="0" hidden="1">'2024 Exp'!$G$116</definedName>
    <definedName name="QB_ROW_138260" localSheetId="0" hidden="1">'2024 Exp'!$G$120</definedName>
    <definedName name="QB_ROW_139260" localSheetId="0" hidden="1">'2024 Exp'!$G$121</definedName>
    <definedName name="QB_ROW_140050" localSheetId="0" hidden="1">'2024 Exp'!$F$123</definedName>
    <definedName name="QB_ROW_140260" localSheetId="0" hidden="1">'2024 Exp'!#REF!</definedName>
    <definedName name="QB_ROW_140350" localSheetId="0" hidden="1">'2024 Exp'!$F$127</definedName>
    <definedName name="QB_ROW_141260" localSheetId="0" hidden="1">'2024 Exp'!$G$124</definedName>
    <definedName name="QB_ROW_142260" localSheetId="0" hidden="1">'2024 Exp'!#REF!</definedName>
    <definedName name="QB_ROW_18301" localSheetId="0" hidden="1">'2024 Exp'!#REF!</definedName>
    <definedName name="QB_ROW_19011" localSheetId="0" hidden="1">'2024 Exp'!$B$6</definedName>
    <definedName name="QB_ROW_192260" localSheetId="0" hidden="1">'2024 Exp'!$G$107</definedName>
    <definedName name="QB_ROW_19311" localSheetId="0" hidden="1">'2024 Exp'!$B$131</definedName>
    <definedName name="QB_ROW_194260" localSheetId="0" hidden="1">'2024 Exp'!$G$24</definedName>
    <definedName name="QB_ROW_195260" localSheetId="0" hidden="1">'2024 Exp'!$G$85</definedName>
    <definedName name="QB_ROW_196260" localSheetId="0" hidden="1">'2024 Exp'!#REF!</definedName>
    <definedName name="QB_ROW_197260" localSheetId="0" hidden="1">'2024 Exp'!$G$99</definedName>
    <definedName name="QB_ROW_198260" localSheetId="0" hidden="1">'2024 Exp'!$G$98</definedName>
    <definedName name="QB_ROW_200260" localSheetId="0" hidden="1">'2024 Exp'!$G$125</definedName>
    <definedName name="QB_ROW_20031" localSheetId="0" hidden="1">'2024 Exp'!$D$8</definedName>
    <definedName name="QB_ROW_201260" localSheetId="0" hidden="1">'2024 Exp'!$G$118</definedName>
    <definedName name="QB_ROW_202260" localSheetId="0" hidden="1">'2024 Exp'!$G$40</definedName>
    <definedName name="QB_ROW_203260" localSheetId="0" hidden="1">'2024 Exp'!#REF!</definedName>
    <definedName name="QB_ROW_20331" localSheetId="0" hidden="1">'2024 Exp'!$D$16</definedName>
    <definedName name="QB_ROW_204260" localSheetId="0" hidden="1">'2024 Exp'!#REF!</definedName>
    <definedName name="QB_ROW_21031" localSheetId="0" hidden="1">'2024 Exp'!$D$17</definedName>
    <definedName name="QB_ROW_21331" localSheetId="0" hidden="1">'2024 Exp'!$D$130</definedName>
    <definedName name="QB_ROW_225250" localSheetId="0" hidden="1">'2024 Exp'!$F$13</definedName>
    <definedName name="QB_ROW_238260" localSheetId="0" hidden="1">'2024 Exp'!#REF!</definedName>
    <definedName name="QB_ROW_239260" localSheetId="0" hidden="1">'2024 Exp'!$G$87</definedName>
    <definedName name="QB_ROW_240260" localSheetId="0" hidden="1">'2024 Exp'!#REF!</definedName>
    <definedName name="QB_ROW_241260" localSheetId="0" hidden="1">'2024 Exp'!#REF!</definedName>
    <definedName name="QB_ROW_242260" localSheetId="0" hidden="1">'2024 Exp'!$G$108</definedName>
    <definedName name="QB_ROW_243260" localSheetId="0" hidden="1">'2024 Exp'!$G$110</definedName>
    <definedName name="QB_ROW_244260" localSheetId="0" hidden="1">'2024 Exp'!$G$111</definedName>
    <definedName name="QB_ROW_245260" localSheetId="0" hidden="1">'2024 Exp'!#REF!</definedName>
    <definedName name="QB_ROW_246260" localSheetId="0" hidden="1">'2024 Exp'!$G$117</definedName>
    <definedName name="QB_ROW_254250" localSheetId="0" hidden="1">'2024 Exp'!#REF!</definedName>
    <definedName name="QB_ROW_269260" localSheetId="0" hidden="1">'2024 Exp'!#REF!</definedName>
    <definedName name="QB_ROW_270260" localSheetId="0" hidden="1">'2024 Exp'!$G$55</definedName>
    <definedName name="QB_ROW_271260" localSheetId="0" hidden="1">'2024 Exp'!$G$90</definedName>
    <definedName name="QB_ROW_272260" localSheetId="0" hidden="1">'2024 Exp'!#REF!</definedName>
    <definedName name="QB_ROW_50050" localSheetId="0" hidden="1">'2024 Exp'!$F$37</definedName>
    <definedName name="QB_ROW_50350" localSheetId="0" hidden="1">'2024 Exp'!$F$46</definedName>
    <definedName name="QB_ROW_53040" localSheetId="0" hidden="1">'2024 Exp'!$E$9</definedName>
    <definedName name="QB_ROW_53340" localSheetId="0" hidden="1">'2024 Exp'!$E$15</definedName>
    <definedName name="QB_ROW_54250" localSheetId="0" hidden="1">'2024 Exp'!$F$10</definedName>
    <definedName name="QB_ROW_55250" localSheetId="0" hidden="1">'2024 Exp'!$F$12</definedName>
    <definedName name="QB_ROW_56250" localSheetId="0" hidden="1">'2024 Exp'!$F$14</definedName>
    <definedName name="QB_ROW_57040" localSheetId="0" hidden="1">'2024 Exp'!$E$18</definedName>
    <definedName name="QB_ROW_57340" localSheetId="0" hidden="1">'2024 Exp'!$E$67</definedName>
    <definedName name="QB_ROW_58050" localSheetId="0" hidden="1">'2024 Exp'!$F$19</definedName>
    <definedName name="QB_ROW_58350" localSheetId="0" hidden="1">'2024 Exp'!$F$36</definedName>
    <definedName name="QB_ROW_59260" localSheetId="0" hidden="1">'2024 Exp'!$G$20</definedName>
    <definedName name="QB_ROW_60260" localSheetId="0" hidden="1">'2024 Exp'!$G$38</definedName>
    <definedName name="QB_ROW_61260" localSheetId="0" hidden="1">'2024 Exp'!$G$39</definedName>
    <definedName name="QB_ROW_62260" localSheetId="0" hidden="1">'2024 Exp'!$G$41</definedName>
    <definedName name="QB_ROW_63260" localSheetId="0" hidden="1">'2024 Exp'!$G$42</definedName>
    <definedName name="QB_ROW_64260" localSheetId="0" hidden="1">'2024 Exp'!$G$43</definedName>
    <definedName name="QB_ROW_65260" localSheetId="0" hidden="1">'2024 Exp'!$G$44</definedName>
    <definedName name="QB_ROW_66260" localSheetId="0" hidden="1">'2024 Exp'!$G$45</definedName>
    <definedName name="QB_ROW_67260" localSheetId="0" hidden="1">'2024 Exp'!$G$21</definedName>
    <definedName name="QB_ROW_68260" localSheetId="0" hidden="1">'2024 Exp'!$G$23</definedName>
    <definedName name="QB_ROW_69260" localSheetId="0" hidden="1">'2024 Exp'!$G$25</definedName>
    <definedName name="QB_ROW_70260" localSheetId="0" hidden="1">'2024 Exp'!$G$26</definedName>
    <definedName name="QB_ROW_71260" localSheetId="0" hidden="1">'2024 Exp'!$G$27</definedName>
    <definedName name="QB_ROW_72260" localSheetId="0" hidden="1">'2024 Exp'!$G$28</definedName>
    <definedName name="QB_ROW_73260" localSheetId="0" hidden="1">'2024 Exp'!$G$29</definedName>
    <definedName name="QB_ROW_74260" localSheetId="0" hidden="1">'2024 Exp'!$G$30</definedName>
    <definedName name="QB_ROW_75260" localSheetId="0" hidden="1">'2024 Exp'!$G$31</definedName>
    <definedName name="QB_ROW_76260" localSheetId="0" hidden="1">'2024 Exp'!$G$32</definedName>
    <definedName name="QB_ROW_77260" localSheetId="0" hidden="1">'2024 Exp'!$G$33</definedName>
    <definedName name="QB_ROW_78260" localSheetId="0" hidden="1">'2024 Exp'!$G$34</definedName>
    <definedName name="QB_ROW_79260" localSheetId="0" hidden="1">'2024 Exp'!$G$35</definedName>
    <definedName name="QB_ROW_80050" localSheetId="0" hidden="1">'2024 Exp'!$F$52</definedName>
    <definedName name="QB_ROW_80350" localSheetId="0" hidden="1">'2024 Exp'!$F$61</definedName>
    <definedName name="QB_ROW_81260" localSheetId="0" hidden="1">'2024 Exp'!$G$22</definedName>
    <definedName name="QB_ROW_82260" localSheetId="0" hidden="1">'2024 Exp'!$G$53</definedName>
    <definedName name="QB_ROW_84260" localSheetId="0" hidden="1">'2024 Exp'!$G$54</definedName>
    <definedName name="QB_ROW_85050" localSheetId="0" hidden="1">'2024 Exp'!$F$47</definedName>
    <definedName name="QB_ROW_85350" localSheetId="0" hidden="1">'2024 Exp'!$F$51</definedName>
    <definedName name="QB_ROW_86260" localSheetId="0" hidden="1">'2024 Exp'!$G$48</definedName>
    <definedName name="QB_ROW_86321" localSheetId="0" hidden="1">'2024 Exp'!#REF!</definedName>
    <definedName name="QB_ROW_87260" localSheetId="0" hidden="1">'2024 Exp'!$G$49</definedName>
    <definedName name="QB_ROW_88260" localSheetId="0" hidden="1">'2024 Exp'!$G$50</definedName>
    <definedName name="QB_ROW_89260" localSheetId="0" hidden="1">'2024 Exp'!$G$56</definedName>
    <definedName name="QB_ROW_90260" localSheetId="0" hidden="1">'2024 Exp'!$G$57</definedName>
    <definedName name="QB_ROW_91260" localSheetId="0" hidden="1">'2024 Exp'!$G$58</definedName>
    <definedName name="QB_ROW_92050" localSheetId="0" hidden="1">'2024 Exp'!$F$62</definedName>
    <definedName name="QB_ROW_92350" localSheetId="0" hidden="1">'2024 Exp'!$F$66</definedName>
    <definedName name="QB_ROW_93260" localSheetId="0" hidden="1">'2024 Exp'!$G$63</definedName>
    <definedName name="QB_ROW_94260" localSheetId="0" hidden="1">'2024 Exp'!$G$64</definedName>
    <definedName name="QB_ROW_95260" localSheetId="0" hidden="1">'2024 Exp'!$G$65</definedName>
    <definedName name="QB_ROW_96050" localSheetId="0" hidden="1">'2024 Exp'!$F$69</definedName>
    <definedName name="QB_ROW_96350" localSheetId="0" hidden="1">'2024 Exp'!$F$71</definedName>
    <definedName name="QB_ROW_97040" localSheetId="0" hidden="1">'2024 Exp'!$E$68</definedName>
    <definedName name="QB_ROW_97340" localSheetId="0" hidden="1">'2024 Exp'!$E$128</definedName>
    <definedName name="QB_ROW_98260" localSheetId="0" hidden="1">'2024 Exp'!#REF!</definedName>
    <definedName name="QB_ROW_99260" localSheetId="0" hidden="1">'2024 Exp'!$G$70</definedName>
    <definedName name="QBCANSUPPORTUPDATE" localSheetId="0">TRUE</definedName>
    <definedName name="QBCOMPANYFILENAME" localSheetId="0">"C:\MX-Quickbooks\Quickbooks-AppData\McKnight Crossings Church of Christ.QBW"</definedName>
    <definedName name="QBENDDATE" localSheetId="0">20140831</definedName>
    <definedName name="QBHEADERSONSCREEN" localSheetId="0">FALSE</definedName>
    <definedName name="QBMETADATASIZE" localSheetId="0">5802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"85eb2884388f4a1d8cb438ee93ab1d30"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20140101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4" i="1" l="1"/>
  <c r="N10" i="1"/>
  <c r="N14" i="1" l="1"/>
  <c r="P93" i="1"/>
  <c r="O93" i="1"/>
  <c r="N45" i="1"/>
  <c r="N44" i="1"/>
  <c r="N43" i="1"/>
  <c r="N42" i="1"/>
  <c r="N41" i="1"/>
  <c r="N40" i="1"/>
  <c r="N38" i="1"/>
  <c r="E7" i="2"/>
  <c r="G7" i="2"/>
  <c r="I7" i="2" s="1"/>
  <c r="K7" i="2"/>
  <c r="E8" i="2"/>
  <c r="G8" i="2" s="1"/>
  <c r="K8" i="2"/>
  <c r="E9" i="2"/>
  <c r="F9" i="2"/>
  <c r="G9" i="2"/>
  <c r="Q9" i="2" s="1"/>
  <c r="I9" i="2"/>
  <c r="K9" i="2"/>
  <c r="L9" i="2"/>
  <c r="I10" i="2"/>
  <c r="Q10" i="2" s="1"/>
  <c r="F11" i="2"/>
  <c r="G11" i="2"/>
  <c r="I11" i="2"/>
  <c r="L11" i="2"/>
  <c r="K11" i="2" s="1"/>
  <c r="K36" i="2" s="1"/>
  <c r="M11" i="2"/>
  <c r="Q13" i="2"/>
  <c r="E16" i="2"/>
  <c r="G16" i="2"/>
  <c r="J16" i="2" s="1"/>
  <c r="A19" i="2"/>
  <c r="D19" i="2"/>
  <c r="E19" i="2"/>
  <c r="G19" i="2"/>
  <c r="Q19" i="2" s="1"/>
  <c r="J19" i="2"/>
  <c r="E20" i="2"/>
  <c r="G20" i="2" s="1"/>
  <c r="K20" i="2"/>
  <c r="A24" i="2"/>
  <c r="D24" i="2"/>
  <c r="E24" i="2" s="1"/>
  <c r="A27" i="2"/>
  <c r="D27" i="2"/>
  <c r="G27" i="2" s="1"/>
  <c r="E27" i="2"/>
  <c r="A28" i="2"/>
  <c r="D28" i="2"/>
  <c r="G28" i="2" s="1"/>
  <c r="E28" i="2"/>
  <c r="A29" i="2"/>
  <c r="D29" i="2"/>
  <c r="E29" i="2"/>
  <c r="G29" i="2"/>
  <c r="Q29" i="2" s="1"/>
  <c r="J29" i="2"/>
  <c r="G33" i="2"/>
  <c r="J33" i="2" s="1"/>
  <c r="R34" i="2"/>
  <c r="R35" i="2"/>
  <c r="D36" i="2"/>
  <c r="F36" i="2"/>
  <c r="H36" i="2"/>
  <c r="L36" i="2"/>
  <c r="M36" i="2"/>
  <c r="N36" i="2"/>
  <c r="O36" i="2"/>
  <c r="P36" i="2"/>
  <c r="J27" i="2" l="1"/>
  <c r="Q27" i="2"/>
  <c r="Q7" i="2"/>
  <c r="I36" i="2"/>
  <c r="Q11" i="2"/>
  <c r="G36" i="2"/>
  <c r="I8" i="2"/>
  <c r="Q8" i="2" s="1"/>
  <c r="J28" i="2"/>
  <c r="Q28" i="2" s="1"/>
  <c r="I20" i="2"/>
  <c r="J20" i="2"/>
  <c r="Q20" i="2"/>
  <c r="R21" i="2" s="1"/>
  <c r="Q16" i="2"/>
  <c r="R17" i="2" s="1"/>
  <c r="E36" i="2"/>
  <c r="R33" i="2"/>
  <c r="G24" i="2"/>
  <c r="N98" i="1"/>
  <c r="N94" i="1"/>
  <c r="R14" i="2" l="1"/>
  <c r="R31" i="2"/>
  <c r="J24" i="2"/>
  <c r="J36" i="2" s="1"/>
  <c r="P30" i="1"/>
  <c r="L101" i="1"/>
  <c r="L127" i="1"/>
  <c r="L122" i="1"/>
  <c r="L113" i="1"/>
  <c r="L88" i="1"/>
  <c r="L80" i="1"/>
  <c r="L74" i="1"/>
  <c r="L71" i="1"/>
  <c r="L66" i="1"/>
  <c r="L61" i="1"/>
  <c r="L51" i="1"/>
  <c r="L46" i="1"/>
  <c r="L36" i="1"/>
  <c r="L15" i="1"/>
  <c r="L16" i="1" s="1"/>
  <c r="BQ122" i="1"/>
  <c r="BQ117" i="1"/>
  <c r="BQ108" i="1"/>
  <c r="BQ97" i="1"/>
  <c r="BQ85" i="1"/>
  <c r="BQ77" i="1"/>
  <c r="BQ72" i="1"/>
  <c r="BQ69" i="1"/>
  <c r="BQ64" i="1"/>
  <c r="BQ60" i="1"/>
  <c r="BQ51" i="1"/>
  <c r="BQ46" i="1"/>
  <c r="BQ36" i="1"/>
  <c r="BQ14" i="1"/>
  <c r="BQ15" i="1" s="1"/>
  <c r="BQ16" i="1" s="1"/>
  <c r="N127" i="1"/>
  <c r="M127" i="1"/>
  <c r="J127" i="1"/>
  <c r="I127" i="1"/>
  <c r="H127" i="1"/>
  <c r="N122" i="1"/>
  <c r="M122" i="1"/>
  <c r="J122" i="1"/>
  <c r="I122" i="1"/>
  <c r="H122" i="1"/>
  <c r="N113" i="1"/>
  <c r="M113" i="1"/>
  <c r="J113" i="1"/>
  <c r="I113" i="1"/>
  <c r="H113" i="1"/>
  <c r="N101" i="1"/>
  <c r="M101" i="1"/>
  <c r="J101" i="1"/>
  <c r="I101" i="1"/>
  <c r="H101" i="1"/>
  <c r="N88" i="1"/>
  <c r="M88" i="1"/>
  <c r="J88" i="1"/>
  <c r="I88" i="1"/>
  <c r="H88" i="1"/>
  <c r="N80" i="1"/>
  <c r="M80" i="1"/>
  <c r="J80" i="1"/>
  <c r="I80" i="1"/>
  <c r="H80" i="1"/>
  <c r="N74" i="1"/>
  <c r="M74" i="1"/>
  <c r="J74" i="1"/>
  <c r="I74" i="1"/>
  <c r="H74" i="1"/>
  <c r="N71" i="1"/>
  <c r="M71" i="1"/>
  <c r="J71" i="1"/>
  <c r="I71" i="1"/>
  <c r="H71" i="1"/>
  <c r="N66" i="1"/>
  <c r="M66" i="1"/>
  <c r="J66" i="1"/>
  <c r="I66" i="1"/>
  <c r="H66" i="1"/>
  <c r="H61" i="1"/>
  <c r="H51" i="1"/>
  <c r="H46" i="1"/>
  <c r="N36" i="1"/>
  <c r="H36" i="1"/>
  <c r="H15" i="1"/>
  <c r="H16" i="1" s="1"/>
  <c r="Q24" i="2" l="1"/>
  <c r="R25" i="2" s="1"/>
  <c r="R36" i="2"/>
  <c r="I128" i="1"/>
  <c r="L67" i="1"/>
  <c r="J128" i="1"/>
  <c r="M128" i="1"/>
  <c r="H128" i="1"/>
  <c r="L128" i="1"/>
  <c r="L130" i="1" s="1"/>
  <c r="L131" i="1" s="1"/>
  <c r="N128" i="1"/>
  <c r="BQ123" i="1"/>
  <c r="H67" i="1"/>
  <c r="BQ65" i="1"/>
  <c r="H130" i="1" l="1"/>
  <c r="BQ124" i="1"/>
  <c r="BQ125" i="1" s="1"/>
  <c r="BQ126" i="1" s="1"/>
  <c r="BG128" i="1"/>
  <c r="BG123" i="1"/>
  <c r="BG114" i="1"/>
  <c r="BG102" i="1"/>
  <c r="BG89" i="1"/>
  <c r="BG81" i="1"/>
  <c r="BG75" i="1"/>
  <c r="M61" i="1"/>
  <c r="M51" i="1"/>
  <c r="M46" i="1"/>
  <c r="M36" i="1"/>
  <c r="M67" i="1" s="1"/>
  <c r="M130" i="1" s="1"/>
  <c r="M15" i="1"/>
  <c r="M16" i="1" s="1"/>
  <c r="J61" i="1"/>
  <c r="J51" i="1"/>
  <c r="J46" i="1"/>
  <c r="J36" i="1"/>
  <c r="AC67" i="1"/>
  <c r="AC72" i="1"/>
  <c r="BG72" i="1"/>
  <c r="BG67" i="1"/>
  <c r="BG63" i="1"/>
  <c r="BG53" i="1"/>
  <c r="BG48" i="1"/>
  <c r="BG37" i="1"/>
  <c r="BG15" i="1"/>
  <c r="BG16" i="1" s="1"/>
  <c r="BG17" i="1" s="1"/>
  <c r="AW122" i="1"/>
  <c r="AW117" i="1"/>
  <c r="AW108" i="1"/>
  <c r="AW97" i="1"/>
  <c r="AW85" i="1"/>
  <c r="AW77" i="1"/>
  <c r="AW72" i="1"/>
  <c r="AW69" i="1"/>
  <c r="AW64" i="1"/>
  <c r="AW60" i="1"/>
  <c r="AW51" i="1"/>
  <c r="AW46" i="1"/>
  <c r="AW36" i="1"/>
  <c r="AW14" i="1"/>
  <c r="AW15" i="1" s="1"/>
  <c r="AW16" i="1" s="1"/>
  <c r="AM122" i="1"/>
  <c r="AM117" i="1"/>
  <c r="AM108" i="1"/>
  <c r="AM97" i="1"/>
  <c r="AM85" i="1"/>
  <c r="AM77" i="1"/>
  <c r="AM72" i="1"/>
  <c r="AM69" i="1"/>
  <c r="AM64" i="1"/>
  <c r="AM60" i="1"/>
  <c r="AM51" i="1"/>
  <c r="AM46" i="1"/>
  <c r="AM36" i="1"/>
  <c r="AM14" i="1"/>
  <c r="AM15" i="1" s="1"/>
  <c r="AM16" i="1" s="1"/>
  <c r="AC128" i="1"/>
  <c r="AC123" i="1"/>
  <c r="AC114" i="1"/>
  <c r="AC102" i="1"/>
  <c r="AC89" i="1"/>
  <c r="AC81" i="1"/>
  <c r="AC75" i="1"/>
  <c r="AC63" i="1"/>
  <c r="AC53" i="1"/>
  <c r="AC48" i="1"/>
  <c r="AC37" i="1"/>
  <c r="AC15" i="1"/>
  <c r="AC16" i="1" s="1"/>
  <c r="AC17" i="1" s="1"/>
  <c r="K10" i="1"/>
  <c r="J15" i="1"/>
  <c r="J16" i="1" s="1"/>
  <c r="I15" i="1"/>
  <c r="N15" i="1" l="1"/>
  <c r="BG129" i="1"/>
  <c r="BG68" i="1"/>
  <c r="BG130" i="1" s="1"/>
  <c r="AC68" i="1"/>
  <c r="J67" i="1"/>
  <c r="J130" i="1" s="1"/>
  <c r="J131" i="1" s="1"/>
  <c r="M131" i="1"/>
  <c r="AM65" i="1"/>
  <c r="AW123" i="1"/>
  <c r="AM123" i="1"/>
  <c r="AM124" i="1" s="1"/>
  <c r="AM125" i="1" s="1"/>
  <c r="AM126" i="1" s="1"/>
  <c r="AW65" i="1"/>
  <c r="AC129" i="1"/>
  <c r="AW124" i="1" l="1"/>
  <c r="AW125" i="1" s="1"/>
  <c r="AW126" i="1" s="1"/>
  <c r="BG131" i="1"/>
  <c r="BG132" i="1" s="1"/>
  <c r="AC130" i="1"/>
  <c r="AC131" i="1" s="1"/>
  <c r="AC132" i="1" s="1"/>
  <c r="P126" i="1" l="1"/>
  <c r="P125" i="1"/>
  <c r="P124" i="1"/>
  <c r="P127" i="1" s="1"/>
  <c r="P121" i="1"/>
  <c r="P120" i="1"/>
  <c r="P119" i="1"/>
  <c r="P118" i="1"/>
  <c r="P117" i="1"/>
  <c r="P116" i="1"/>
  <c r="P115" i="1"/>
  <c r="P112" i="1"/>
  <c r="P111" i="1"/>
  <c r="P110" i="1"/>
  <c r="P109" i="1"/>
  <c r="P108" i="1"/>
  <c r="P107" i="1"/>
  <c r="P106" i="1"/>
  <c r="P105" i="1"/>
  <c r="P104" i="1"/>
  <c r="P103" i="1"/>
  <c r="P100" i="1"/>
  <c r="P99" i="1"/>
  <c r="P98" i="1"/>
  <c r="P97" i="1"/>
  <c r="P96" i="1"/>
  <c r="P95" i="1"/>
  <c r="P94" i="1"/>
  <c r="P92" i="1"/>
  <c r="P91" i="1"/>
  <c r="P90" i="1"/>
  <c r="P87" i="1"/>
  <c r="P86" i="1"/>
  <c r="P85" i="1"/>
  <c r="P84" i="1"/>
  <c r="P83" i="1"/>
  <c r="P82" i="1"/>
  <c r="P79" i="1"/>
  <c r="P78" i="1"/>
  <c r="P77" i="1"/>
  <c r="P76" i="1"/>
  <c r="P73" i="1"/>
  <c r="P74" i="1" s="1"/>
  <c r="P70" i="1"/>
  <c r="P71" i="1" s="1"/>
  <c r="P65" i="1"/>
  <c r="P63" i="1"/>
  <c r="P66" i="1" s="1"/>
  <c r="P60" i="1"/>
  <c r="P59" i="1"/>
  <c r="P58" i="1"/>
  <c r="P57" i="1"/>
  <c r="P56" i="1"/>
  <c r="P55" i="1"/>
  <c r="P54" i="1"/>
  <c r="P53" i="1"/>
  <c r="P50" i="1"/>
  <c r="P49" i="1"/>
  <c r="P48" i="1"/>
  <c r="P45" i="1"/>
  <c r="P44" i="1"/>
  <c r="P43" i="1"/>
  <c r="P42" i="1"/>
  <c r="P41" i="1"/>
  <c r="P40" i="1"/>
  <c r="P39" i="1"/>
  <c r="P38" i="1"/>
  <c r="P35" i="1"/>
  <c r="P34" i="1"/>
  <c r="P33" i="1"/>
  <c r="P32" i="1"/>
  <c r="P31" i="1"/>
  <c r="P29" i="1"/>
  <c r="P28" i="1"/>
  <c r="P27" i="1"/>
  <c r="P26" i="1"/>
  <c r="P25" i="1"/>
  <c r="P24" i="1"/>
  <c r="P23" i="1"/>
  <c r="P22" i="1"/>
  <c r="P21" i="1"/>
  <c r="P20" i="1"/>
  <c r="P14" i="1"/>
  <c r="P13" i="1"/>
  <c r="P12" i="1"/>
  <c r="P11" i="1"/>
  <c r="P10" i="1"/>
  <c r="K126" i="1"/>
  <c r="O126" i="1" s="1"/>
  <c r="K125" i="1"/>
  <c r="O125" i="1" s="1"/>
  <c r="K124" i="1"/>
  <c r="K121" i="1"/>
  <c r="O121" i="1" s="1"/>
  <c r="K120" i="1"/>
  <c r="O120" i="1" s="1"/>
  <c r="K119" i="1"/>
  <c r="O119" i="1" s="1"/>
  <c r="K118" i="1"/>
  <c r="O118" i="1" s="1"/>
  <c r="K117" i="1"/>
  <c r="O117" i="1" s="1"/>
  <c r="K116" i="1"/>
  <c r="O116" i="1" s="1"/>
  <c r="K115" i="1"/>
  <c r="K112" i="1"/>
  <c r="O112" i="1" s="1"/>
  <c r="K111" i="1"/>
  <c r="O111" i="1" s="1"/>
  <c r="K110" i="1"/>
  <c r="O110" i="1" s="1"/>
  <c r="K109" i="1"/>
  <c r="O109" i="1" s="1"/>
  <c r="K108" i="1"/>
  <c r="O108" i="1" s="1"/>
  <c r="K107" i="1"/>
  <c r="O107" i="1" s="1"/>
  <c r="K106" i="1"/>
  <c r="O106" i="1" s="1"/>
  <c r="K105" i="1"/>
  <c r="O105" i="1" s="1"/>
  <c r="K104" i="1"/>
  <c r="O104" i="1" s="1"/>
  <c r="K103" i="1"/>
  <c r="K100" i="1"/>
  <c r="O100" i="1" s="1"/>
  <c r="K99" i="1"/>
  <c r="O99" i="1" s="1"/>
  <c r="K98" i="1"/>
  <c r="O98" i="1" s="1"/>
  <c r="K97" i="1"/>
  <c r="O97" i="1" s="1"/>
  <c r="K96" i="1"/>
  <c r="O96" i="1" s="1"/>
  <c r="K95" i="1"/>
  <c r="O95" i="1" s="1"/>
  <c r="K94" i="1"/>
  <c r="O94" i="1" s="1"/>
  <c r="K92" i="1"/>
  <c r="O92" i="1" s="1"/>
  <c r="K91" i="1"/>
  <c r="O91" i="1" s="1"/>
  <c r="K90" i="1"/>
  <c r="K87" i="1"/>
  <c r="O87" i="1" s="1"/>
  <c r="K86" i="1"/>
  <c r="O86" i="1" s="1"/>
  <c r="K85" i="1"/>
  <c r="O85" i="1" s="1"/>
  <c r="K84" i="1"/>
  <c r="O84" i="1" s="1"/>
  <c r="K83" i="1"/>
  <c r="O83" i="1" s="1"/>
  <c r="K82" i="1"/>
  <c r="K79" i="1"/>
  <c r="O79" i="1" s="1"/>
  <c r="K78" i="1"/>
  <c r="O78" i="1" s="1"/>
  <c r="K77" i="1"/>
  <c r="O77" i="1" s="1"/>
  <c r="K76" i="1"/>
  <c r="K73" i="1"/>
  <c r="K70" i="1"/>
  <c r="K65" i="1"/>
  <c r="O65" i="1" s="1"/>
  <c r="K63" i="1"/>
  <c r="K66" i="1" s="1"/>
  <c r="K60" i="1"/>
  <c r="O60" i="1" s="1"/>
  <c r="K59" i="1"/>
  <c r="O59" i="1" s="1"/>
  <c r="K58" i="1"/>
  <c r="O58" i="1" s="1"/>
  <c r="K57" i="1"/>
  <c r="O57" i="1" s="1"/>
  <c r="K56" i="1"/>
  <c r="O56" i="1" s="1"/>
  <c r="K55" i="1"/>
  <c r="O55" i="1" s="1"/>
  <c r="K54" i="1"/>
  <c r="O54" i="1" s="1"/>
  <c r="K53" i="1"/>
  <c r="K50" i="1"/>
  <c r="O50" i="1" s="1"/>
  <c r="K49" i="1"/>
  <c r="O49" i="1" s="1"/>
  <c r="K48" i="1"/>
  <c r="K45" i="1"/>
  <c r="O45" i="1" s="1"/>
  <c r="K44" i="1"/>
  <c r="O44" i="1" s="1"/>
  <c r="K43" i="1"/>
  <c r="O43" i="1" s="1"/>
  <c r="K42" i="1"/>
  <c r="O42" i="1" s="1"/>
  <c r="K41" i="1"/>
  <c r="O41" i="1" s="1"/>
  <c r="K40" i="1"/>
  <c r="O40" i="1" s="1"/>
  <c r="K39" i="1"/>
  <c r="O39" i="1" s="1"/>
  <c r="K38" i="1"/>
  <c r="K35" i="1"/>
  <c r="O35" i="1" s="1"/>
  <c r="K34" i="1"/>
  <c r="O34" i="1" s="1"/>
  <c r="K33" i="1"/>
  <c r="O33" i="1" s="1"/>
  <c r="K32" i="1"/>
  <c r="O32" i="1" s="1"/>
  <c r="K31" i="1"/>
  <c r="O31" i="1" s="1"/>
  <c r="K30" i="1"/>
  <c r="O30" i="1" s="1"/>
  <c r="K29" i="1"/>
  <c r="O29" i="1" s="1"/>
  <c r="K28" i="1"/>
  <c r="O28" i="1" s="1"/>
  <c r="K27" i="1"/>
  <c r="O27" i="1" s="1"/>
  <c r="K26" i="1"/>
  <c r="O26" i="1" s="1"/>
  <c r="K25" i="1"/>
  <c r="O25" i="1" s="1"/>
  <c r="K24" i="1"/>
  <c r="K23" i="1"/>
  <c r="O23" i="1" s="1"/>
  <c r="K22" i="1"/>
  <c r="O22" i="1" s="1"/>
  <c r="K21" i="1"/>
  <c r="O21" i="1" s="1"/>
  <c r="K20" i="1"/>
  <c r="O20" i="1" s="1"/>
  <c r="K14" i="1"/>
  <c r="O14" i="1" s="1"/>
  <c r="K13" i="1"/>
  <c r="O13" i="1" s="1"/>
  <c r="K12" i="1"/>
  <c r="O12" i="1" s="1"/>
  <c r="K11" i="1"/>
  <c r="O10" i="1"/>
  <c r="I61" i="1"/>
  <c r="I51" i="1"/>
  <c r="I46" i="1"/>
  <c r="I36" i="1"/>
  <c r="I16" i="1"/>
  <c r="P80" i="1" l="1"/>
  <c r="P122" i="1"/>
  <c r="P101" i="1"/>
  <c r="I67" i="1"/>
  <c r="I130" i="1" s="1"/>
  <c r="I131" i="1" s="1"/>
  <c r="P46" i="1"/>
  <c r="P51" i="1"/>
  <c r="O70" i="1"/>
  <c r="O71" i="1" s="1"/>
  <c r="K71" i="1"/>
  <c r="O53" i="1"/>
  <c r="O61" i="1" s="1"/>
  <c r="K61" i="1"/>
  <c r="O82" i="1"/>
  <c r="O88" i="1" s="1"/>
  <c r="K88" i="1"/>
  <c r="O103" i="1"/>
  <c r="O113" i="1" s="1"/>
  <c r="K113" i="1"/>
  <c r="O124" i="1"/>
  <c r="O127" i="1" s="1"/>
  <c r="K127" i="1"/>
  <c r="O76" i="1"/>
  <c r="O80" i="1" s="1"/>
  <c r="K80" i="1"/>
  <c r="O11" i="1"/>
  <c r="O15" i="1" s="1"/>
  <c r="O16" i="1" s="1"/>
  <c r="K15" i="1"/>
  <c r="K16" i="1" s="1"/>
  <c r="O73" i="1"/>
  <c r="O74" i="1" s="1"/>
  <c r="K74" i="1"/>
  <c r="P15" i="1"/>
  <c r="P16" i="1" s="1"/>
  <c r="P61" i="1"/>
  <c r="P88" i="1"/>
  <c r="P113" i="1"/>
  <c r="O115" i="1"/>
  <c r="O122" i="1" s="1"/>
  <c r="K122" i="1"/>
  <c r="O38" i="1"/>
  <c r="O46" i="1" s="1"/>
  <c r="K46" i="1"/>
  <c r="O90" i="1"/>
  <c r="O101" i="1" s="1"/>
  <c r="K101" i="1"/>
  <c r="P36" i="1"/>
  <c r="O48" i="1"/>
  <c r="O51" i="1" s="1"/>
  <c r="K51" i="1"/>
  <c r="O24" i="1"/>
  <c r="O36" i="1" s="1"/>
  <c r="K36" i="1"/>
  <c r="O63" i="1"/>
  <c r="O66" i="1" s="1"/>
  <c r="N61" i="1"/>
  <c r="N51" i="1"/>
  <c r="N46" i="1"/>
  <c r="N16" i="1"/>
  <c r="N67" i="1" l="1"/>
  <c r="N130" i="1" s="1"/>
  <c r="N131" i="1" s="1"/>
  <c r="P67" i="1"/>
  <c r="P128" i="1"/>
  <c r="O128" i="1"/>
  <c r="K128" i="1"/>
  <c r="K67" i="1"/>
  <c r="O67" i="1"/>
  <c r="H131" i="1"/>
  <c r="O130" i="1" l="1"/>
  <c r="O131" i="1" s="1"/>
  <c r="P130" i="1"/>
  <c r="P131" i="1" s="1"/>
  <c r="K130" i="1"/>
  <c r="K131" i="1" s="1"/>
</calcChain>
</file>

<file path=xl/sharedStrings.xml><?xml version="1.0" encoding="utf-8"?>
<sst xmlns="http://schemas.openxmlformats.org/spreadsheetml/2006/main" count="855" uniqueCount="258">
  <si>
    <t>Ordinary Income/Expense</t>
  </si>
  <si>
    <t>Income</t>
  </si>
  <si>
    <t>4100000 · General Fund Income</t>
  </si>
  <si>
    <t>4100100 · Regular Contributions</t>
  </si>
  <si>
    <t>4100110 · Building Use Rental Income</t>
  </si>
  <si>
    <t>4100130 · Other Income</t>
  </si>
  <si>
    <t>4100140 · Rental Property (Houses)</t>
  </si>
  <si>
    <t>Total 4100000 · General Fund Income</t>
  </si>
  <si>
    <t>Total Income</t>
  </si>
  <si>
    <t>Expense</t>
  </si>
  <si>
    <t>6100000 · Committed Expenditures</t>
  </si>
  <si>
    <t>6100100 · Facility</t>
  </si>
  <si>
    <t>6100102 · Electricity</t>
  </si>
  <si>
    <t>6100103 · Gas</t>
  </si>
  <si>
    <t>6100106 · Sewer</t>
  </si>
  <si>
    <t>6100109 · Trash</t>
  </si>
  <si>
    <t>6100112 · Water</t>
  </si>
  <si>
    <t>6100115 · Building Supplies</t>
  </si>
  <si>
    <t>6100150 · Maintenance and Repair</t>
  </si>
  <si>
    <t>6100155 · Renovations and Upgrades</t>
  </si>
  <si>
    <t>6100160 · Property Insurance</t>
  </si>
  <si>
    <t>6100175 · Rent House Maintenance</t>
  </si>
  <si>
    <t>6100180 · Rent House Real Estate Taxes</t>
  </si>
  <si>
    <t>6100185 · Lawn Care</t>
  </si>
  <si>
    <t>6100190 · Snow Removal</t>
  </si>
  <si>
    <t>Total 6100100 · Facility</t>
  </si>
  <si>
    <t>6100300 · Payroll</t>
  </si>
  <si>
    <t>6100305 · Salaries &amp; Wages</t>
  </si>
  <si>
    <t>6100310 · Housing Allowance</t>
  </si>
  <si>
    <t>6100320 · Pulpit Ministers Resources</t>
  </si>
  <si>
    <t>6100330 · Education and Training</t>
  </si>
  <si>
    <t>6100340 · Workers Compensation</t>
  </si>
  <si>
    <t>6100350 · Disability &amp; Health Insurance</t>
  </si>
  <si>
    <t>6100380 · Retirement</t>
  </si>
  <si>
    <t>6100390 · Payroll Taxes</t>
  </si>
  <si>
    <t>Total 6100300 · Payroll</t>
  </si>
  <si>
    <t>6100400 · Automotive</t>
  </si>
  <si>
    <t>6100440 · Automotive Insurance</t>
  </si>
  <si>
    <t>6100450 · Automotive Fuel</t>
  </si>
  <si>
    <t>6100460 · Van Maintenance &amp; Rentals</t>
  </si>
  <si>
    <t>Total 6100400 · Automotive</t>
  </si>
  <si>
    <t>6100500 · Office</t>
  </si>
  <si>
    <t>6100510 · Copy Machine</t>
  </si>
  <si>
    <t>6100562 · Computer Technology-Network</t>
  </si>
  <si>
    <t>6100565 · Background Checks</t>
  </si>
  <si>
    <t>6100580 · Postage</t>
  </si>
  <si>
    <t>Total 6100500 · Office</t>
  </si>
  <si>
    <t>6100600 · Finance</t>
  </si>
  <si>
    <t>6100610 · Mortgage Payments (Interest)</t>
  </si>
  <si>
    <t>Total 6100600 · Finance</t>
  </si>
  <si>
    <t>Total 6100000 · Committed Expenditures</t>
  </si>
  <si>
    <t>7100000 · Uncommitted Expenditures</t>
  </si>
  <si>
    <t>7100100 · Adult Ministry</t>
  </si>
  <si>
    <t>7100105 · Adult Curriculum</t>
  </si>
  <si>
    <t>Total 7100100 · Adult Ministry</t>
  </si>
  <si>
    <t>7100200 · Youth Ministry</t>
  </si>
  <si>
    <t>Total 7100200 · Youth Ministry</t>
  </si>
  <si>
    <t>7100300 · Children's Ministry</t>
  </si>
  <si>
    <t>7100350 · VBS</t>
  </si>
  <si>
    <t>Total 7100300 · Children's Ministry</t>
  </si>
  <si>
    <t>7100400 · Missions</t>
  </si>
  <si>
    <t>7100402 · General Mission Fund</t>
  </si>
  <si>
    <t>7100405 · ACTS Campus Ministry</t>
  </si>
  <si>
    <t>7100410 · Christian Family Services</t>
  </si>
  <si>
    <t>7100415 · Camp Ne-O-Tez</t>
  </si>
  <si>
    <t>7100425 · Marseille France</t>
  </si>
  <si>
    <t>Total 7100400 · Missions</t>
  </si>
  <si>
    <t>7100500 · Outreach</t>
  </si>
  <si>
    <t>7100520 · Food Pantry</t>
  </si>
  <si>
    <t>7100540 · Room at the Inn</t>
  </si>
  <si>
    <t>7100570 · Welcome Ministry</t>
  </si>
  <si>
    <t>Total 7100500 · Outreach</t>
  </si>
  <si>
    <t>7100600 · Fellowship</t>
  </si>
  <si>
    <t>7100610 · Kitchen Consumables</t>
  </si>
  <si>
    <t>7100650 · Farewell Gifts</t>
  </si>
  <si>
    <t>7100660 · Fellowship Activities</t>
  </si>
  <si>
    <t>7100670 · Women's Activities</t>
  </si>
  <si>
    <t>7100680 · Men's Activities</t>
  </si>
  <si>
    <t>Total 7100600 · Fellowship</t>
  </si>
  <si>
    <t>7100700 · Worship</t>
  </si>
  <si>
    <t>7100730 · Special Services</t>
  </si>
  <si>
    <t>Total 7100700 · Worship</t>
  </si>
  <si>
    <t>Total 7100000 · Uncommitted Expenditures</t>
  </si>
  <si>
    <t>Total Expense</t>
  </si>
  <si>
    <t>Net Ordinary Income</t>
  </si>
  <si>
    <t>7100591 · New Member Orientation</t>
  </si>
  <si>
    <t>7100580 · Community Events</t>
  </si>
  <si>
    <t>7100800 · Capital Expenditure Replenish</t>
  </si>
  <si>
    <t>7100630 · Funeral Expenses</t>
  </si>
  <si>
    <t>7100510 · Benevolence-Member</t>
  </si>
  <si>
    <t>7100515 · Benevolence-Nonmember</t>
  </si>
  <si>
    <t>7100593 · Congregational Child Care</t>
  </si>
  <si>
    <t>4100105 · Special Contributions</t>
  </si>
  <si>
    <t>7100428 · Mauritius</t>
  </si>
  <si>
    <t>7100640 · Connect Groups</t>
  </si>
  <si>
    <t>7100735 · Safety</t>
  </si>
  <si>
    <t>Total 7100170 · Next Gen Ministry</t>
  </si>
  <si>
    <t>6100195 · Janitor Supplies/Cleaning</t>
  </si>
  <si>
    <t>7100170 · Next Gen Ministry</t>
  </si>
  <si>
    <t>7100175 · Next Gen Ministry</t>
  </si>
  <si>
    <t>6100170 · Rental House Utility</t>
  </si>
  <si>
    <t>6100105 · Telephone / Internet</t>
  </si>
  <si>
    <t>6100615 · First Mid B&amp;T Principal</t>
  </si>
  <si>
    <t>6100690 · Bank / Broker &amp; other Fees</t>
  </si>
  <si>
    <t>7100210 · Youth General</t>
  </si>
  <si>
    <t>7100230 · Youth Missions</t>
  </si>
  <si>
    <t>7100231 · Youth Shepherding</t>
  </si>
  <si>
    <t>7100240 · Youth Scholarship</t>
  </si>
  <si>
    <t>7100315 · Curriculum</t>
  </si>
  <si>
    <t>7100325 · Leadership Development</t>
  </si>
  <si>
    <t>7100335 · Family Milestones</t>
  </si>
  <si>
    <t>7100427 · North City Church/Urban Youth</t>
  </si>
  <si>
    <t>7100417 · Global Serve Int'l</t>
  </si>
  <si>
    <t xml:space="preserve">7100420 · Campus Outreach SERVE </t>
  </si>
  <si>
    <t>7100586 · Connnection Minister Sheph</t>
  </si>
  <si>
    <t>7100590 · Sr. Minister Shepherding</t>
  </si>
  <si>
    <t>Gross Profit</t>
  </si>
  <si>
    <t>6100690 · Bank / Broker and other Fees</t>
  </si>
  <si>
    <t>7100417 · Global Serve Int'l [Whelan]</t>
  </si>
  <si>
    <t>7100420 · Campus Outreach SERVE [Gasser]</t>
  </si>
  <si>
    <t>7100427 · North City Church/Urban Youth O</t>
  </si>
  <si>
    <t>Net Income</t>
  </si>
  <si>
    <t>6100590 · Leaders Lunches / Meetings</t>
  </si>
  <si>
    <t>7100586 · Connection Minister Shepherding</t>
  </si>
  <si>
    <t>7100710 · Auditorium Worship</t>
  </si>
  <si>
    <t>6100307 · Restricted Salaries &amp; Wages</t>
  </si>
  <si>
    <t>7100345 · Preschool/Elem Activities</t>
  </si>
  <si>
    <t>7100430 · ACTS Mission</t>
  </si>
  <si>
    <t xml:space="preserve">7100430 · ACTS Mission </t>
  </si>
  <si>
    <t>7100710 · Auditorium</t>
  </si>
  <si>
    <t>Budget</t>
  </si>
  <si>
    <t>6100581 · Miscellaneous-not budgeted</t>
  </si>
  <si>
    <t>7100340 · C.Minister Shepherding</t>
  </si>
  <si>
    <t>6100520 · Website / Social Media / Email</t>
  </si>
  <si>
    <t>6100570 · Office Supplies-Services</t>
  </si>
  <si>
    <t>6100520 · Web Site / Social Media / Email</t>
  </si>
  <si>
    <t>6100570 · Office Supplies / Services</t>
  </si>
  <si>
    <t>6100590 · Leaders' Lunches / Meetings</t>
  </si>
  <si>
    <t>6100581 · Miscellaneous-Not Budgeted</t>
  </si>
  <si>
    <t>Projected</t>
  </si>
  <si>
    <t>A</t>
  </si>
  <si>
    <t>B</t>
  </si>
  <si>
    <t>2023</t>
  </si>
  <si>
    <t>Actual</t>
  </si>
  <si>
    <t>2024</t>
  </si>
  <si>
    <t>2023 Budget</t>
  </si>
  <si>
    <t>2024 Budget</t>
  </si>
  <si>
    <t>7100305 · Supply Center</t>
  </si>
  <si>
    <t>7100320 · 3 and 4 year olds</t>
  </si>
  <si>
    <t>7100360 · Family Activities</t>
  </si>
  <si>
    <t>7100370 · Children's Worship</t>
  </si>
  <si>
    <t>Jan-Oct 23</t>
  </si>
  <si>
    <t>Nov 23</t>
  </si>
  <si>
    <t>C</t>
  </si>
  <si>
    <t>Dec 23</t>
  </si>
  <si>
    <t>A+B+C</t>
  </si>
  <si>
    <t>TOT 2023</t>
  </si>
  <si>
    <t>Year-to-Date Actual (Jan-Oct 23)</t>
  </si>
  <si>
    <t>BUDGET 2023</t>
  </si>
  <si>
    <t>NOV Projected (Nov 22)</t>
  </si>
  <si>
    <t>DEC Projected (Dec 22)</t>
  </si>
  <si>
    <t>Jan - Oct 23</t>
  </si>
  <si>
    <t>Nov 22</t>
  </si>
  <si>
    <t>7100341 · 3rd - 5th Quarterly Events</t>
  </si>
  <si>
    <t>7100403 · Africa-Brockington</t>
  </si>
  <si>
    <t>Dec 22</t>
  </si>
  <si>
    <t>Budget 23</t>
  </si>
  <si>
    <t>New</t>
  </si>
  <si>
    <t>New rate in Jan 2023 (4 yd EOW)</t>
  </si>
  <si>
    <t>Tfr'd payroll budget $2000 frm 6100562 to 6100570</t>
  </si>
  <si>
    <t>See note 6100562; SK8 $39.99 (inc frm 29.99 in 8/23)</t>
  </si>
  <si>
    <t>2022</t>
  </si>
  <si>
    <t>BUDGET 2022</t>
  </si>
  <si>
    <t>Budget 22</t>
  </si>
  <si>
    <t>PROJECTED INCOME/EXPENSES</t>
  </si>
  <si>
    <t>ANNUAL BUDGET</t>
  </si>
  <si>
    <t>CHANGE</t>
  </si>
  <si>
    <t>(N-K)</t>
  </si>
  <si>
    <t>(N-M)</t>
  </si>
  <si>
    <t>2023 Proj'd</t>
  </si>
  <si>
    <t>Prior Year 2023 Hourly 'ee rate  Myers=$20.00, Hunsaker=$22.19,  Briggs/Hill=$13.39, Blackford=$12.00</t>
  </si>
  <si>
    <t>Intern works 10 weeks x 40 hrs x $12.30 = $4,920 + 2 of those wks are at camp x 10 hrs OT x $18.45 = add'l $369;  $4920+369+40 rounding=$5,300.</t>
  </si>
  <si>
    <t>Assumes new minister hired 7/1/23 (6 months)</t>
  </si>
  <si>
    <t>Kryder works until 8/30/23 and is paid until 11/30/23 (11 months total)</t>
  </si>
  <si>
    <t>80% of health insurance costs ($1200*12*.8)</t>
  </si>
  <si>
    <t>**</t>
  </si>
  <si>
    <t>These are not actual payroll paid but amount of payroll that is budgeted/estimated for this position</t>
  </si>
  <si>
    <t>*</t>
  </si>
  <si>
    <t>2023 total</t>
  </si>
  <si>
    <t>Worker's Compensation</t>
  </si>
  <si>
    <t>Summer-reimburse</t>
  </si>
  <si>
    <t>Summer (1)</t>
  </si>
  <si>
    <t>Interns</t>
  </si>
  <si>
    <t>Blackford, David (7 hr)</t>
  </si>
  <si>
    <t>Hill, Alec(7 hr)</t>
  </si>
  <si>
    <t>Briggs, Carol (7 hr)</t>
  </si>
  <si>
    <t>Custodial</t>
  </si>
  <si>
    <t>Hunsaker, T (20 hr/wk)</t>
  </si>
  <si>
    <t>Maintenance</t>
  </si>
  <si>
    <t>+2500 bonus</t>
  </si>
  <si>
    <t>McPherson, E  (40+ hr/wk)</t>
  </si>
  <si>
    <t>Myers, K (20 hr/wk)</t>
  </si>
  <si>
    <t xml:space="preserve"> Office Staff</t>
  </si>
  <si>
    <t>n/a</t>
  </si>
  <si>
    <t>Part Time Ministers</t>
  </si>
  <si>
    <t>Admin to Guidestone</t>
  </si>
  <si>
    <t>New Senior Minister (6mo)</t>
  </si>
  <si>
    <t xml:space="preserve">Picker, J </t>
  </si>
  <si>
    <t>Kryder, J</t>
  </si>
  <si>
    <t>Strickland, N</t>
  </si>
  <si>
    <t>Haywood, J.</t>
  </si>
  <si>
    <t>Full Time Ministers</t>
  </si>
  <si>
    <t>Total</t>
  </si>
  <si>
    <t>Comp</t>
  </si>
  <si>
    <t>Resource</t>
  </si>
  <si>
    <t>Training</t>
  </si>
  <si>
    <t>Disability</t>
  </si>
  <si>
    <t>Dental</t>
  </si>
  <si>
    <t>Health</t>
  </si>
  <si>
    <t>FICA</t>
  </si>
  <si>
    <t>Match</t>
  </si>
  <si>
    <t>Cash</t>
  </si>
  <si>
    <t>hours</t>
  </si>
  <si>
    <t>Raise</t>
  </si>
  <si>
    <t>est. hr</t>
  </si>
  <si>
    <t>Personell</t>
  </si>
  <si>
    <t>Rate</t>
  </si>
  <si>
    <t xml:space="preserve">Work </t>
  </si>
  <si>
    <t>Minister</t>
  </si>
  <si>
    <t>Education</t>
  </si>
  <si>
    <t>Retire</t>
  </si>
  <si>
    <t>Out</t>
  </si>
  <si>
    <t>Salary</t>
  </si>
  <si>
    <t>inc(dec)</t>
  </si>
  <si>
    <t>Hourly</t>
  </si>
  <si>
    <t>Salary/</t>
  </si>
  <si>
    <t>Pulpit</t>
  </si>
  <si>
    <t>Opt</t>
  </si>
  <si>
    <t xml:space="preserve">Salary </t>
  </si>
  <si>
    <t>Estimate</t>
  </si>
  <si>
    <t>Projections for 2024 Payroll/Benefits/Health</t>
  </si>
  <si>
    <t>McKnight Crossings Church of Christ</t>
  </si>
  <si>
    <t>Includes 2500 for next Honduras trip</t>
  </si>
  <si>
    <t>Half of other ministers-rest is redirected</t>
  </si>
  <si>
    <t>McKnight Commitment tp CFS for 2024</t>
  </si>
  <si>
    <t>2024 Portion Covered by individual pledges</t>
  </si>
  <si>
    <t>Reduced because of debt payoff at end of 2023</t>
  </si>
  <si>
    <t>Interviewing expenses-candidates will preach</t>
  </si>
  <si>
    <t>Increased in Feb 2024 by $50/mo each</t>
  </si>
  <si>
    <t>Reduced budget by half (reserve/generous donations)</t>
  </si>
  <si>
    <r>
      <t>7100315 · Curriculum</t>
    </r>
    <r>
      <rPr>
        <b/>
        <sz val="10"/>
        <color rgb="FF0070C0"/>
        <rFont val="Arial"/>
        <family val="2"/>
      </rPr>
      <t>(Children's Worship)</t>
    </r>
  </si>
  <si>
    <r>
      <t>7100325 · Leadership Development</t>
    </r>
    <r>
      <rPr>
        <b/>
        <sz val="10"/>
        <color rgb="FF0070C0"/>
        <rFont val="Arial"/>
        <family val="2"/>
      </rPr>
      <t>(Supp Ctr)</t>
    </r>
  </si>
  <si>
    <r>
      <t>7100335 · Family Milestones</t>
    </r>
    <r>
      <rPr>
        <b/>
        <sz val="10"/>
        <color rgb="FF0070C0"/>
        <rFont val="Arial"/>
        <family val="2"/>
      </rPr>
      <t>(3 &amp; 4 yr olds)</t>
    </r>
  </si>
  <si>
    <r>
      <t>7100340 · C. Minister Shepherding</t>
    </r>
    <r>
      <rPr>
        <b/>
        <sz val="10"/>
        <color rgb="FF0070C0"/>
        <rFont val="Arial"/>
        <family val="2"/>
      </rPr>
      <t>(3rd-5th)</t>
    </r>
  </si>
  <si>
    <r>
      <t>7100345 · Preschool/Elem Activities</t>
    </r>
    <r>
      <rPr>
        <b/>
        <sz val="10"/>
        <color rgb="FF0070C0"/>
        <rFont val="Arial"/>
        <family val="2"/>
      </rPr>
      <t>(Fam Act)</t>
    </r>
  </si>
  <si>
    <r>
      <t>7100350 · VBS</t>
    </r>
    <r>
      <rPr>
        <b/>
        <sz val="10"/>
        <color rgb="FF0070C0"/>
        <rFont val="Arial"/>
        <family val="2"/>
      </rPr>
      <t>(VBS)</t>
    </r>
  </si>
  <si>
    <r>
      <t xml:space="preserve">7100400 · Missions  </t>
    </r>
    <r>
      <rPr>
        <b/>
        <sz val="10"/>
        <color rgb="FF0070C0"/>
        <rFont val="Arial"/>
        <family val="2"/>
      </rPr>
      <t>(Africa-Brockington in col L)</t>
    </r>
  </si>
  <si>
    <t xml:space="preserve"> 2023 + 3% (w/o net of 11k CFS pledge (36k x 30%))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</si>
</sst>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#,##0.00;\-#,##0.00"/>
    <numFmt numFmtId="165" formatCode="&quot;$&quot;#,##0.00"/>
    <numFmt numFmtId="166" formatCode="#,##0.000"/>
    <numFmt numFmtId="167" formatCode="#,##0.0000"/>
  </numFmts>
  <fonts count="30" x14ac:knownFonts="1">
    <font>
      <sz val="11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5FA82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theme="8" tint="-0.249977111117893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trike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u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3F6D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BEF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3" fontId="0" fillId="2" borderId="0" xfId="0" applyNumberFormat="1" applyFill="1"/>
    <xf numFmtId="49" fontId="7" fillId="0" borderId="9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quotePrefix="1" applyNumberFormat="1"/>
    <xf numFmtId="3" fontId="0" fillId="0" borderId="23" xfId="0" applyNumberFormat="1" applyBorder="1"/>
    <xf numFmtId="4" fontId="0" fillId="0" borderId="0" xfId="0" applyNumberFormat="1"/>
    <xf numFmtId="3" fontId="0" fillId="18" borderId="3" xfId="0" applyNumberFormat="1" applyFill="1" applyBorder="1"/>
    <xf numFmtId="3" fontId="0" fillId="18" borderId="0" xfId="0" applyNumberFormat="1" applyFill="1"/>
    <xf numFmtId="3" fontId="10" fillId="18" borderId="0" xfId="0" applyNumberFormat="1" applyFont="1" applyFill="1"/>
    <xf numFmtId="3" fontId="0" fillId="3" borderId="0" xfId="0" applyNumberFormat="1" applyFill="1"/>
    <xf numFmtId="3" fontId="10" fillId="3" borderId="0" xfId="0" applyNumberFormat="1" applyFont="1" applyFill="1"/>
    <xf numFmtId="165" fontId="11" fillId="0" borderId="0" xfId="0" applyNumberFormat="1" applyFont="1" applyAlignment="1">
      <alignment horizontal="center"/>
    </xf>
    <xf numFmtId="3" fontId="12" fillId="0" borderId="0" xfId="0" applyNumberFormat="1" applyFont="1"/>
    <xf numFmtId="3" fontId="8" fillId="19" borderId="0" xfId="0" applyNumberFormat="1" applyFont="1" applyFill="1"/>
    <xf numFmtId="3" fontId="0" fillId="19" borderId="0" xfId="0" applyNumberFormat="1" applyFill="1"/>
    <xf numFmtId="3" fontId="0" fillId="19" borderId="3" xfId="0" applyNumberFormat="1" applyFill="1" applyBorder="1"/>
    <xf numFmtId="3" fontId="10" fillId="19" borderId="0" xfId="0" applyNumberFormat="1" applyFont="1" applyFill="1"/>
    <xf numFmtId="166" fontId="0" fillId="0" borderId="0" xfId="0" applyNumberFormat="1"/>
    <xf numFmtId="167" fontId="0" fillId="0" borderId="0" xfId="0" applyNumberFormat="1"/>
    <xf numFmtId="3" fontId="8" fillId="20" borderId="0" xfId="0" applyNumberFormat="1" applyFont="1" applyFill="1"/>
    <xf numFmtId="3" fontId="0" fillId="20" borderId="0" xfId="0" applyNumberFormat="1" applyFill="1"/>
    <xf numFmtId="3" fontId="13" fillId="20" borderId="3" xfId="0" applyNumberFormat="1" applyFont="1" applyFill="1" applyBorder="1"/>
    <xf numFmtId="3" fontId="10" fillId="20" borderId="0" xfId="0" applyNumberFormat="1" applyFont="1" applyFill="1"/>
    <xf numFmtId="3" fontId="8" fillId="21" borderId="0" xfId="0" applyNumberFormat="1" applyFont="1" applyFill="1"/>
    <xf numFmtId="3" fontId="0" fillId="21" borderId="0" xfId="0" applyNumberFormat="1" applyFill="1"/>
    <xf numFmtId="3" fontId="0" fillId="21" borderId="0" xfId="0" quotePrefix="1" applyNumberFormat="1" applyFill="1"/>
    <xf numFmtId="3" fontId="0" fillId="21" borderId="3" xfId="0" applyNumberFormat="1" applyFill="1" applyBorder="1"/>
    <xf numFmtId="3" fontId="0" fillId="22" borderId="0" xfId="0" applyNumberFormat="1" applyFill="1"/>
    <xf numFmtId="3" fontId="14" fillId="21" borderId="0" xfId="0" applyNumberFormat="1" applyFont="1" applyFill="1"/>
    <xf numFmtId="3" fontId="8" fillId="23" borderId="0" xfId="0" applyNumberFormat="1" applyFont="1" applyFill="1" applyAlignment="1">
      <alignment horizontal="center"/>
    </xf>
    <xf numFmtId="3" fontId="8" fillId="23" borderId="0" xfId="0" applyNumberFormat="1" applyFont="1" applyFill="1"/>
    <xf numFmtId="3" fontId="0" fillId="23" borderId="0" xfId="0" applyNumberFormat="1" applyFill="1"/>
    <xf numFmtId="3" fontId="0" fillId="23" borderId="3" xfId="0" applyNumberFormat="1" applyFill="1" applyBorder="1"/>
    <xf numFmtId="3" fontId="15" fillId="23" borderId="0" xfId="0" applyNumberFormat="1" applyFont="1" applyFill="1"/>
    <xf numFmtId="3" fontId="10" fillId="23" borderId="0" xfId="0" applyNumberFormat="1" applyFont="1" applyFill="1"/>
    <xf numFmtId="3" fontId="8" fillId="0" borderId="0" xfId="0" applyNumberFormat="1" applyFont="1"/>
    <xf numFmtId="3" fontId="0" fillId="24" borderId="0" xfId="0" applyNumberFormat="1" applyFill="1"/>
    <xf numFmtId="0" fontId="12" fillId="0" borderId="0" xfId="0" applyFont="1"/>
    <xf numFmtId="3" fontId="14" fillId="22" borderId="0" xfId="0" applyNumberFormat="1" applyFont="1" applyFill="1"/>
    <xf numFmtId="3" fontId="0" fillId="22" borderId="0" xfId="0" applyNumberFormat="1" applyFill="1" applyAlignment="1">
      <alignment horizontal="right"/>
    </xf>
    <xf numFmtId="3" fontId="10" fillId="22" borderId="0" xfId="0" applyNumberFormat="1" applyFont="1" applyFill="1"/>
    <xf numFmtId="3" fontId="0" fillId="22" borderId="3" xfId="0" applyNumberFormat="1" applyFill="1" applyBorder="1"/>
    <xf numFmtId="0" fontId="16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9" fontId="0" fillId="0" borderId="3" xfId="0" applyNumberFormat="1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0" fontId="0" fillId="0" borderId="0" xfId="0" applyAlignment="1">
      <alignment horizontal="center" shrinkToFit="1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7" fillId="0" borderId="3" xfId="0" applyFont="1" applyBorder="1"/>
    <xf numFmtId="49" fontId="18" fillId="0" borderId="0" xfId="0" applyNumberFormat="1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15" xfId="0" applyFont="1" applyBorder="1"/>
    <xf numFmtId="49" fontId="1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Continuous"/>
    </xf>
    <xf numFmtId="39" fontId="20" fillId="0" borderId="9" xfId="0" applyNumberFormat="1" applyFont="1" applyBorder="1"/>
    <xf numFmtId="39" fontId="20" fillId="0" borderId="0" xfId="0" applyNumberFormat="1" applyFont="1"/>
    <xf numFmtId="39" fontId="20" fillId="0" borderId="8" xfId="0" applyNumberFormat="1" applyFont="1" applyBorder="1"/>
    <xf numFmtId="164" fontId="21" fillId="0" borderId="15" xfId="0" applyNumberFormat="1" applyFont="1" applyBorder="1"/>
    <xf numFmtId="164" fontId="21" fillId="0" borderId="0" xfId="0" applyNumberFormat="1" applyFont="1"/>
    <xf numFmtId="49" fontId="18" fillId="2" borderId="0" xfId="0" applyNumberFormat="1" applyFont="1" applyFill="1" applyAlignment="1">
      <alignment horizontal="center"/>
    </xf>
    <xf numFmtId="49" fontId="18" fillId="0" borderId="6" xfId="0" applyNumberFormat="1" applyFont="1" applyBorder="1" applyAlignment="1">
      <alignment horizontal="center"/>
    </xf>
    <xf numFmtId="0" fontId="10" fillId="2" borderId="0" xfId="0" applyFont="1" applyFill="1"/>
    <xf numFmtId="164" fontId="20" fillId="0" borderId="15" xfId="0" applyNumberFormat="1" applyFont="1" applyBorder="1"/>
    <xf numFmtId="164" fontId="20" fillId="0" borderId="0" xfId="0" applyNumberFormat="1" applyFont="1"/>
    <xf numFmtId="49" fontId="18" fillId="2" borderId="0" xfId="0" applyNumberFormat="1" applyFont="1" applyFill="1"/>
    <xf numFmtId="39" fontId="18" fillId="0" borderId="9" xfId="0" applyNumberFormat="1" applyFont="1" applyBorder="1"/>
    <xf numFmtId="39" fontId="18" fillId="0" borderId="0" xfId="0" applyNumberFormat="1" applyFont="1"/>
    <xf numFmtId="39" fontId="18" fillId="0" borderId="15" xfId="0" quotePrefix="1" applyNumberFormat="1" applyFont="1" applyBorder="1"/>
    <xf numFmtId="39" fontId="18" fillId="0" borderId="15" xfId="0" applyNumberFormat="1" applyFont="1" applyBorder="1"/>
    <xf numFmtId="164" fontId="20" fillId="0" borderId="9" xfId="0" applyNumberFormat="1" applyFont="1" applyBorder="1"/>
    <xf numFmtId="3" fontId="20" fillId="10" borderId="9" xfId="0" applyNumberFormat="1" applyFont="1" applyFill="1" applyBorder="1"/>
    <xf numFmtId="3" fontId="20" fillId="15" borderId="0" xfId="0" applyNumberFormat="1" applyFont="1" applyFill="1"/>
    <xf numFmtId="3" fontId="20" fillId="11" borderId="0" xfId="0" applyNumberFormat="1" applyFont="1" applyFill="1"/>
    <xf numFmtId="3" fontId="22" fillId="16" borderId="9" xfId="0" applyNumberFormat="1" applyFont="1" applyFill="1" applyBorder="1"/>
    <xf numFmtId="3" fontId="20" fillId="12" borderId="0" xfId="0" applyNumberFormat="1" applyFont="1" applyFill="1"/>
    <xf numFmtId="3" fontId="20" fillId="9" borderId="15" xfId="0" applyNumberFormat="1" applyFont="1" applyFill="1" applyBorder="1"/>
    <xf numFmtId="3" fontId="20" fillId="13" borderId="0" xfId="0" applyNumberFormat="1" applyFont="1" applyFill="1"/>
    <xf numFmtId="3" fontId="20" fillId="14" borderId="15" xfId="0" applyNumberFormat="1" applyFont="1" applyFill="1" applyBorder="1"/>
    <xf numFmtId="49" fontId="23" fillId="0" borderId="0" xfId="0" applyNumberFormat="1" applyFont="1"/>
    <xf numFmtId="49" fontId="20" fillId="0" borderId="0" xfId="0" applyNumberFormat="1" applyFont="1"/>
    <xf numFmtId="49" fontId="18" fillId="0" borderId="1" xfId="0" applyNumberFormat="1" applyFont="1" applyBorder="1"/>
    <xf numFmtId="49" fontId="18" fillId="0" borderId="19" xfId="0" applyNumberFormat="1" applyFont="1" applyBorder="1"/>
    <xf numFmtId="39" fontId="20" fillId="0" borderId="2" xfId="0" applyNumberFormat="1" applyFont="1" applyBorder="1"/>
    <xf numFmtId="164" fontId="20" fillId="0" borderId="2" xfId="0" applyNumberFormat="1" applyFont="1" applyBorder="1"/>
    <xf numFmtId="49" fontId="18" fillId="7" borderId="4" xfId="0" applyNumberFormat="1" applyFont="1" applyFill="1" applyBorder="1"/>
    <xf numFmtId="49" fontId="18" fillId="7" borderId="18" xfId="0" applyNumberFormat="1" applyFont="1" applyFill="1" applyBorder="1"/>
    <xf numFmtId="3" fontId="20" fillId="7" borderId="11" xfId="0" applyNumberFormat="1" applyFont="1" applyFill="1" applyBorder="1"/>
    <xf numFmtId="3" fontId="20" fillId="7" borderId="2" xfId="0" applyNumberFormat="1" applyFont="1" applyFill="1" applyBorder="1"/>
    <xf numFmtId="3" fontId="20" fillId="7" borderId="17" xfId="0" applyNumberFormat="1" applyFont="1" applyFill="1" applyBorder="1"/>
    <xf numFmtId="39" fontId="20" fillId="0" borderId="4" xfId="0" applyNumberFormat="1" applyFont="1" applyBorder="1"/>
    <xf numFmtId="164" fontId="20" fillId="0" borderId="4" xfId="0" applyNumberFormat="1" applyFont="1" applyBorder="1"/>
    <xf numFmtId="49" fontId="18" fillId="4" borderId="4" xfId="0" applyNumberFormat="1" applyFont="1" applyFill="1" applyBorder="1"/>
    <xf numFmtId="49" fontId="18" fillId="4" borderId="18" xfId="0" applyNumberFormat="1" applyFont="1" applyFill="1" applyBorder="1"/>
    <xf numFmtId="3" fontId="20" fillId="4" borderId="12" xfId="0" applyNumberFormat="1" applyFont="1" applyFill="1" applyBorder="1"/>
    <xf numFmtId="3" fontId="20" fillId="4" borderId="4" xfId="0" applyNumberFormat="1" applyFont="1" applyFill="1" applyBorder="1"/>
    <xf numFmtId="3" fontId="20" fillId="4" borderId="18" xfId="0" applyNumberFormat="1" applyFont="1" applyFill="1" applyBorder="1"/>
    <xf numFmtId="3" fontId="20" fillId="0" borderId="9" xfId="0" applyNumberFormat="1" applyFont="1" applyBorder="1"/>
    <xf numFmtId="3" fontId="20" fillId="0" borderId="0" xfId="0" applyNumberFormat="1" applyFont="1"/>
    <xf numFmtId="3" fontId="20" fillId="0" borderId="15" xfId="0" applyNumberFormat="1" applyFont="1" applyBorder="1"/>
    <xf numFmtId="3" fontId="20" fillId="16" borderId="9" xfId="0" applyNumberFormat="1" applyFont="1" applyFill="1" applyBorder="1"/>
    <xf numFmtId="3" fontId="24" fillId="15" borderId="0" xfId="0" applyNumberFormat="1" applyFont="1" applyFill="1"/>
    <xf numFmtId="3" fontId="20" fillId="10" borderId="13" xfId="0" applyNumberFormat="1" applyFont="1" applyFill="1" applyBorder="1"/>
    <xf numFmtId="3" fontId="20" fillId="15" borderId="1" xfId="0" applyNumberFormat="1" applyFont="1" applyFill="1" applyBorder="1"/>
    <xf numFmtId="3" fontId="20" fillId="11" borderId="1" xfId="0" applyNumberFormat="1" applyFont="1" applyFill="1" applyBorder="1"/>
    <xf numFmtId="3" fontId="20" fillId="16" borderId="13" xfId="0" applyNumberFormat="1" applyFont="1" applyFill="1" applyBorder="1"/>
    <xf numFmtId="3" fontId="20" fillId="12" borderId="1" xfId="0" applyNumberFormat="1" applyFont="1" applyFill="1" applyBorder="1"/>
    <xf numFmtId="3" fontId="20" fillId="9" borderId="19" xfId="0" applyNumberFormat="1" applyFont="1" applyFill="1" applyBorder="1"/>
    <xf numFmtId="3" fontId="20" fillId="13" borderId="1" xfId="0" applyNumberFormat="1" applyFont="1" applyFill="1" applyBorder="1"/>
    <xf numFmtId="3" fontId="20" fillId="14" borderId="19" xfId="0" applyNumberFormat="1" applyFont="1" applyFill="1" applyBorder="1"/>
    <xf numFmtId="39" fontId="20" fillId="0" borderId="1" xfId="0" applyNumberFormat="1" applyFont="1" applyBorder="1"/>
    <xf numFmtId="164" fontId="20" fillId="0" borderId="1" xfId="0" applyNumberFormat="1" applyFont="1" applyBorder="1"/>
    <xf numFmtId="49" fontId="18" fillId="7" borderId="0" xfId="0" applyNumberFormat="1" applyFont="1" applyFill="1"/>
    <xf numFmtId="3" fontId="20" fillId="7" borderId="9" xfId="0" applyNumberFormat="1" applyFont="1" applyFill="1" applyBorder="1"/>
    <xf numFmtId="3" fontId="20" fillId="7" borderId="0" xfId="0" applyNumberFormat="1" applyFont="1" applyFill="1"/>
    <xf numFmtId="3" fontId="20" fillId="7" borderId="15" xfId="0" applyNumberFormat="1" applyFont="1" applyFill="1" applyBorder="1"/>
    <xf numFmtId="3" fontId="20" fillId="7" borderId="12" xfId="0" applyNumberFormat="1" applyFont="1" applyFill="1" applyBorder="1"/>
    <xf numFmtId="3" fontId="20" fillId="7" borderId="4" xfId="0" applyNumberFormat="1" applyFont="1" applyFill="1" applyBorder="1"/>
    <xf numFmtId="3" fontId="20" fillId="7" borderId="18" xfId="0" applyNumberFormat="1" applyFont="1" applyFill="1" applyBorder="1"/>
    <xf numFmtId="49" fontId="18" fillId="6" borderId="4" xfId="0" applyNumberFormat="1" applyFont="1" applyFill="1" applyBorder="1"/>
    <xf numFmtId="49" fontId="18" fillId="6" borderId="18" xfId="0" applyNumberFormat="1" applyFont="1" applyFill="1" applyBorder="1"/>
    <xf numFmtId="3" fontId="20" fillId="6" borderId="12" xfId="0" applyNumberFormat="1" applyFont="1" applyFill="1" applyBorder="1"/>
    <xf numFmtId="3" fontId="20" fillId="6" borderId="4" xfId="0" applyNumberFormat="1" applyFont="1" applyFill="1" applyBorder="1"/>
    <xf numFmtId="3" fontId="20" fillId="6" borderId="18" xfId="0" applyNumberFormat="1" applyFont="1" applyFill="1" applyBorder="1"/>
    <xf numFmtId="49" fontId="25" fillId="0" borderId="0" xfId="0" applyNumberFormat="1" applyFont="1"/>
    <xf numFmtId="39" fontId="20" fillId="8" borderId="0" xfId="0" applyNumberFormat="1" applyFont="1" applyFill="1"/>
    <xf numFmtId="39" fontId="20" fillId="8" borderId="1" xfId="0" applyNumberFormat="1" applyFont="1" applyFill="1" applyBorder="1"/>
    <xf numFmtId="0" fontId="18" fillId="0" borderId="0" xfId="0" applyFont="1"/>
    <xf numFmtId="0" fontId="25" fillId="0" borderId="0" xfId="0" applyFont="1"/>
    <xf numFmtId="49" fontId="27" fillId="0" borderId="0" xfId="0" applyNumberFormat="1" applyFont="1"/>
    <xf numFmtId="39" fontId="18" fillId="0" borderId="5" xfId="0" applyNumberFormat="1" applyFont="1" applyBorder="1"/>
    <xf numFmtId="164" fontId="18" fillId="0" borderId="5" xfId="0" applyNumberFormat="1" applyFont="1" applyBorder="1"/>
    <xf numFmtId="3" fontId="20" fillId="6" borderId="11" xfId="0" applyNumberFormat="1" applyFont="1" applyFill="1" applyBorder="1"/>
    <xf numFmtId="3" fontId="20" fillId="6" borderId="2" xfId="0" applyNumberFormat="1" applyFont="1" applyFill="1" applyBorder="1"/>
    <xf numFmtId="3" fontId="20" fillId="6" borderId="17" xfId="0" applyNumberFormat="1" applyFont="1" applyFill="1" applyBorder="1"/>
    <xf numFmtId="49" fontId="18" fillId="3" borderId="4" xfId="0" applyNumberFormat="1" applyFont="1" applyFill="1" applyBorder="1"/>
    <xf numFmtId="49" fontId="18" fillId="5" borderId="18" xfId="0" applyNumberFormat="1" applyFont="1" applyFill="1" applyBorder="1"/>
    <xf numFmtId="3" fontId="20" fillId="3" borderId="11" xfId="0" applyNumberFormat="1" applyFont="1" applyFill="1" applyBorder="1"/>
    <xf numFmtId="3" fontId="20" fillId="3" borderId="2" xfId="0" applyNumberFormat="1" applyFont="1" applyFill="1" applyBorder="1"/>
    <xf numFmtId="3" fontId="20" fillId="3" borderId="17" xfId="0" applyNumberFormat="1" applyFont="1" applyFill="1" applyBorder="1"/>
    <xf numFmtId="3" fontId="20" fillId="3" borderId="0" xfId="0" applyNumberFormat="1" applyFont="1" applyFill="1"/>
    <xf numFmtId="3" fontId="20" fillId="3" borderId="15" xfId="0" applyNumberFormat="1" applyFont="1" applyFill="1" applyBorder="1"/>
    <xf numFmtId="164" fontId="18" fillId="0" borderId="0" xfId="0" applyNumberFormat="1" applyFont="1"/>
    <xf numFmtId="49" fontId="18" fillId="4" borderId="5" xfId="0" applyNumberFormat="1" applyFont="1" applyFill="1" applyBorder="1"/>
    <xf numFmtId="49" fontId="18" fillId="4" borderId="20" xfId="0" applyNumberFormat="1" applyFont="1" applyFill="1" applyBorder="1"/>
    <xf numFmtId="3" fontId="18" fillId="4" borderId="14" xfId="0" applyNumberFormat="1" applyFont="1" applyFill="1" applyBorder="1"/>
    <xf numFmtId="3" fontId="18" fillId="4" borderId="5" xfId="0" applyNumberFormat="1" applyFont="1" applyFill="1" applyBorder="1"/>
    <xf numFmtId="3" fontId="18" fillId="4" borderId="20" xfId="0" applyNumberFormat="1" applyFont="1" applyFill="1" applyBorder="1"/>
    <xf numFmtId="3" fontId="10" fillId="2" borderId="9" xfId="0" applyNumberFormat="1" applyFont="1" applyFill="1" applyBorder="1"/>
    <xf numFmtId="3" fontId="10" fillId="2" borderId="0" xfId="0" applyNumberFormat="1" applyFont="1" applyFill="1"/>
    <xf numFmtId="3" fontId="10" fillId="2" borderId="15" xfId="0" applyNumberFormat="1" applyFont="1" applyFill="1" applyBorder="1"/>
    <xf numFmtId="39" fontId="28" fillId="0" borderId="0" xfId="0" applyNumberFormat="1" applyFont="1"/>
    <xf numFmtId="40" fontId="10" fillId="0" borderId="0" xfId="0" applyNumberFormat="1" applyFont="1"/>
    <xf numFmtId="0" fontId="29" fillId="0" borderId="0" xfId="0" applyFont="1"/>
    <xf numFmtId="0" fontId="18" fillId="0" borderId="0" xfId="0" quotePrefix="1" applyFont="1"/>
    <xf numFmtId="6" fontId="18" fillId="0" borderId="0" xfId="0" applyNumberFormat="1" applyFont="1"/>
    <xf numFmtId="8" fontId="18" fillId="0" borderId="0" xfId="0" applyNumberFormat="1" applyFont="1" applyAlignment="1">
      <alignment horizontal="left"/>
    </xf>
    <xf numFmtId="0" fontId="14" fillId="17" borderId="7" xfId="0" applyFont="1" applyFill="1" applyBorder="1" applyAlignment="1">
      <alignment horizontal="center" vertical="center"/>
    </xf>
    <xf numFmtId="0" fontId="14" fillId="17" borderId="21" xfId="0" applyFont="1" applyFill="1" applyBorder="1" applyAlignment="1">
      <alignment horizontal="center" vertical="center"/>
    </xf>
    <xf numFmtId="0" fontId="14" fillId="17" borderId="22" xfId="0" applyFont="1" applyFill="1" applyBorder="1" applyAlignment="1">
      <alignment horizontal="center" vertical="center"/>
    </xf>
    <xf numFmtId="0" fontId="19" fillId="17" borderId="7" xfId="0" applyFont="1" applyFill="1" applyBorder="1" applyAlignment="1">
      <alignment horizontal="center" vertical="center"/>
    </xf>
    <xf numFmtId="0" fontId="19" fillId="17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EFF9"/>
      <color rgb="FFE3F6DA"/>
      <color rgb="FFE2EFD5"/>
      <color rgb="FFD8FED2"/>
      <color rgb="FFEBF6FF"/>
      <color rgb="FFDDF0FF"/>
      <color rgb="FFE1F5FF"/>
      <color rgb="FFE2FEE2"/>
      <color rgb="FFE0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74295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74295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74295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74295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BQ157"/>
  <sheetViews>
    <sheetView tabSelected="1" zoomScaleNormal="100" workbookViewId="0">
      <selection activeCell="R6" sqref="R6"/>
    </sheetView>
  </sheetViews>
  <sheetFormatPr defaultColWidth="8.7109375" defaultRowHeight="12" customHeight="1" x14ac:dyDescent="0.2"/>
  <cols>
    <col min="1" max="3" width="0.7109375" style="152" customWidth="1"/>
    <col min="4" max="6" width="1.7109375" style="152" customWidth="1"/>
    <col min="7" max="7" width="32.42578125" style="152" customWidth="1"/>
    <col min="8" max="14" width="8.7109375" style="74" customWidth="1"/>
    <col min="15" max="16" width="10.7109375" style="74" customWidth="1"/>
    <col min="17" max="17" width="2.140625" style="74" customWidth="1"/>
    <col min="18" max="18" width="50.85546875" style="74" bestFit="1" customWidth="1"/>
    <col min="19" max="19" width="4.7109375" style="74" customWidth="1"/>
    <col min="20" max="20" width="2.28515625" style="74" customWidth="1"/>
    <col min="21" max="21" width="2.7109375" style="74" customWidth="1"/>
    <col min="22" max="25" width="1.7109375" style="74" customWidth="1"/>
    <col min="26" max="26" width="2.7109375" style="74" customWidth="1"/>
    <col min="27" max="27" width="3.7109375" style="74" customWidth="1"/>
    <col min="28" max="28" width="32.7109375" style="74" customWidth="1"/>
    <col min="29" max="29" width="9.7109375" style="74" customWidth="1"/>
    <col min="30" max="30" width="6.7109375" style="74" customWidth="1"/>
    <col min="31" max="35" width="1.7109375" style="74" customWidth="1"/>
    <col min="36" max="36" width="2.7109375" style="74" customWidth="1"/>
    <col min="37" max="37" width="3.7109375" style="74" customWidth="1"/>
    <col min="38" max="38" width="32.7109375" style="74" customWidth="1"/>
    <col min="39" max="39" width="9.7109375" style="74" customWidth="1"/>
    <col min="40" max="40" width="6.7109375" style="74" customWidth="1"/>
    <col min="41" max="45" width="1.7109375" style="74" customWidth="1"/>
    <col min="46" max="46" width="2.7109375" style="74" customWidth="1"/>
    <col min="47" max="47" width="3.7109375" style="74" customWidth="1"/>
    <col min="48" max="48" width="32.7109375" style="74" customWidth="1"/>
    <col min="49" max="49" width="9.7109375" style="74" customWidth="1"/>
    <col min="50" max="50" width="6.7109375" style="74" customWidth="1"/>
    <col min="51" max="55" width="1.7109375" style="74" customWidth="1"/>
    <col min="56" max="56" width="2.7109375" style="74" customWidth="1"/>
    <col min="57" max="57" width="3.7109375" style="74" customWidth="1"/>
    <col min="58" max="58" width="32.7109375" style="74" customWidth="1"/>
    <col min="59" max="59" width="9.7109375" style="74" customWidth="1"/>
    <col min="60" max="60" width="6.7109375" style="74" customWidth="1"/>
    <col min="61" max="65" width="1.7109375" style="74" customWidth="1"/>
    <col min="66" max="66" width="2.7109375" style="74" customWidth="1"/>
    <col min="67" max="67" width="3.7109375" style="74" customWidth="1"/>
    <col min="68" max="68" width="32.7109375" style="74" customWidth="1"/>
    <col min="69" max="69" width="9.7109375" style="74" customWidth="1"/>
    <col min="70" max="16384" width="8.7109375" style="74"/>
  </cols>
  <sheetData>
    <row r="2" spans="1:69" ht="12" customHeight="1" x14ac:dyDescent="0.2">
      <c r="A2" s="73"/>
      <c r="B2" s="73"/>
      <c r="C2" s="73"/>
      <c r="D2" s="73"/>
      <c r="E2" s="73"/>
      <c r="F2" s="73"/>
      <c r="G2" s="73"/>
      <c r="H2" s="182" t="s">
        <v>174</v>
      </c>
      <c r="I2" s="183"/>
      <c r="J2" s="183"/>
      <c r="K2" s="184"/>
      <c r="L2" s="182" t="s">
        <v>175</v>
      </c>
      <c r="M2" s="183"/>
      <c r="N2" s="184"/>
      <c r="O2" s="185" t="s">
        <v>176</v>
      </c>
      <c r="P2" s="186"/>
      <c r="R2" s="75"/>
    </row>
    <row r="3" spans="1:69" ht="12" customHeight="1" x14ac:dyDescent="0.2">
      <c r="A3" s="73"/>
      <c r="B3" s="73"/>
      <c r="C3" s="73"/>
      <c r="D3" s="73"/>
      <c r="E3" s="73"/>
      <c r="F3" s="73"/>
      <c r="G3" s="73"/>
      <c r="H3" s="10" t="s">
        <v>140</v>
      </c>
      <c r="I3" s="6" t="s">
        <v>141</v>
      </c>
      <c r="J3" s="6" t="s">
        <v>153</v>
      </c>
      <c r="K3" s="6" t="s">
        <v>155</v>
      </c>
      <c r="L3" s="10"/>
      <c r="N3" s="76"/>
      <c r="O3" s="6" t="s">
        <v>177</v>
      </c>
      <c r="P3" s="15" t="s">
        <v>178</v>
      </c>
      <c r="R3" s="75"/>
    </row>
    <row r="4" spans="1:69" ht="12" customHeight="1" x14ac:dyDescent="0.2">
      <c r="A4" s="73"/>
      <c r="B4" s="73"/>
      <c r="C4" s="73"/>
      <c r="D4" s="73"/>
      <c r="E4" s="73"/>
      <c r="F4" s="73"/>
      <c r="G4" s="73"/>
      <c r="H4" s="17" t="s">
        <v>143</v>
      </c>
      <c r="I4" s="2" t="s">
        <v>139</v>
      </c>
      <c r="J4" s="2" t="s">
        <v>139</v>
      </c>
      <c r="K4" s="2" t="s">
        <v>139</v>
      </c>
      <c r="L4" s="11" t="s">
        <v>171</v>
      </c>
      <c r="M4" s="5" t="s">
        <v>142</v>
      </c>
      <c r="N4" s="13" t="s">
        <v>144</v>
      </c>
      <c r="O4" s="2" t="s">
        <v>179</v>
      </c>
      <c r="P4" s="16" t="s">
        <v>145</v>
      </c>
      <c r="R4" s="75"/>
    </row>
    <row r="5" spans="1:69" s="78" customFormat="1" ht="12" customHeight="1" thickBot="1" x14ac:dyDescent="0.25">
      <c r="A5" s="77"/>
      <c r="B5" s="77"/>
      <c r="C5" s="77"/>
      <c r="D5" s="77"/>
      <c r="E5" s="77"/>
      <c r="F5" s="77"/>
      <c r="G5" s="77"/>
      <c r="H5" s="18" t="s">
        <v>151</v>
      </c>
      <c r="I5" s="3" t="s">
        <v>152</v>
      </c>
      <c r="J5" s="3" t="s">
        <v>154</v>
      </c>
      <c r="K5" s="7" t="s">
        <v>156</v>
      </c>
      <c r="L5" s="12" t="s">
        <v>130</v>
      </c>
      <c r="M5" s="8" t="s">
        <v>130</v>
      </c>
      <c r="N5" s="14" t="s">
        <v>130</v>
      </c>
      <c r="O5" s="4" t="s">
        <v>146</v>
      </c>
      <c r="P5" s="14" t="s">
        <v>146</v>
      </c>
      <c r="T5" s="73"/>
      <c r="U5" s="73" t="s">
        <v>157</v>
      </c>
      <c r="V5" s="73"/>
      <c r="W5" s="73"/>
      <c r="X5" s="73"/>
      <c r="Y5" s="73"/>
      <c r="Z5" s="79"/>
      <c r="AA5" s="79"/>
      <c r="AE5" s="73" t="s">
        <v>159</v>
      </c>
      <c r="AO5" s="73" t="s">
        <v>160</v>
      </c>
      <c r="AY5" s="73" t="s">
        <v>158</v>
      </c>
      <c r="BI5" s="73" t="s">
        <v>172</v>
      </c>
    </row>
    <row r="6" spans="1:69" ht="12" customHeight="1" thickTop="1" thickBot="1" x14ac:dyDescent="0.25">
      <c r="A6" s="73"/>
      <c r="B6" s="73" t="s">
        <v>0</v>
      </c>
      <c r="C6" s="73"/>
      <c r="D6" s="73"/>
      <c r="E6" s="73"/>
      <c r="F6" s="73"/>
      <c r="G6" s="73"/>
      <c r="H6" s="80"/>
      <c r="I6" s="81"/>
      <c r="J6" s="81"/>
      <c r="K6" s="81"/>
      <c r="L6" s="82"/>
      <c r="M6" s="81"/>
      <c r="N6" s="83"/>
      <c r="O6" s="84"/>
      <c r="P6" s="83"/>
      <c r="R6" s="73"/>
      <c r="S6" s="77"/>
      <c r="U6" s="85"/>
      <c r="V6" s="77"/>
      <c r="W6" s="77"/>
      <c r="X6" s="77"/>
      <c r="Y6" s="77"/>
      <c r="Z6" s="77"/>
      <c r="AA6" s="77"/>
      <c r="AB6" s="77"/>
      <c r="AC6" s="86" t="s">
        <v>161</v>
      </c>
      <c r="AE6" s="85"/>
      <c r="AF6" s="77"/>
      <c r="AG6" s="77"/>
      <c r="AH6" s="77"/>
      <c r="AI6" s="77"/>
      <c r="AJ6" s="77"/>
      <c r="AK6" s="77"/>
      <c r="AL6" s="77"/>
      <c r="AM6" s="86" t="s">
        <v>162</v>
      </c>
      <c r="AO6" s="87"/>
      <c r="AP6" s="77"/>
      <c r="AQ6" s="77"/>
      <c r="AR6" s="77"/>
      <c r="AS6" s="77"/>
      <c r="AT6" s="77"/>
      <c r="AU6" s="77"/>
      <c r="AV6" s="77"/>
      <c r="AW6" s="86" t="s">
        <v>165</v>
      </c>
      <c r="AY6" s="85"/>
      <c r="AZ6" s="77"/>
      <c r="BA6" s="77"/>
      <c r="BB6" s="77"/>
      <c r="BC6" s="77"/>
      <c r="BD6" s="77"/>
      <c r="BE6" s="77"/>
      <c r="BF6" s="77"/>
      <c r="BG6" s="86" t="s">
        <v>166</v>
      </c>
      <c r="BI6" s="87"/>
      <c r="BJ6" s="77"/>
      <c r="BK6" s="77"/>
      <c r="BL6" s="77"/>
      <c r="BM6" s="77"/>
      <c r="BN6" s="77"/>
      <c r="BO6" s="77"/>
      <c r="BP6" s="77"/>
      <c r="BQ6" s="86" t="s">
        <v>173</v>
      </c>
    </row>
    <row r="7" spans="1:69" ht="12" customHeight="1" thickTop="1" x14ac:dyDescent="0.2">
      <c r="A7" s="73"/>
      <c r="B7" s="73"/>
      <c r="C7" s="73"/>
      <c r="D7" s="73"/>
      <c r="E7" s="73"/>
      <c r="F7" s="73"/>
      <c r="G7" s="73"/>
      <c r="H7" s="80"/>
      <c r="I7" s="81"/>
      <c r="J7" s="81"/>
      <c r="K7" s="81"/>
      <c r="L7" s="80"/>
      <c r="M7" s="81"/>
      <c r="N7" s="88"/>
      <c r="O7" s="89"/>
      <c r="P7" s="88"/>
      <c r="R7" s="73"/>
      <c r="S7" s="77"/>
      <c r="U7" s="85"/>
      <c r="V7" s="73"/>
      <c r="W7" s="73" t="s">
        <v>0</v>
      </c>
      <c r="X7" s="73"/>
      <c r="Y7" s="73"/>
      <c r="Z7" s="73"/>
      <c r="AA7" s="73"/>
      <c r="AB7" s="73"/>
      <c r="AC7" s="89"/>
      <c r="AE7" s="85"/>
      <c r="AF7" s="73"/>
      <c r="AG7" s="73" t="s">
        <v>0</v>
      </c>
      <c r="AH7" s="73"/>
      <c r="AI7" s="73"/>
      <c r="AJ7" s="73"/>
      <c r="AK7" s="73"/>
      <c r="AL7" s="73"/>
      <c r="AM7" s="81"/>
      <c r="AO7" s="87"/>
      <c r="AP7" s="73"/>
      <c r="AQ7" s="73" t="s">
        <v>0</v>
      </c>
      <c r="AR7" s="73"/>
      <c r="AS7" s="73"/>
      <c r="AT7" s="73"/>
      <c r="AU7" s="73"/>
      <c r="AV7" s="73"/>
      <c r="AW7" s="81"/>
      <c r="AY7" s="90"/>
      <c r="AZ7" s="73"/>
      <c r="BA7" s="73" t="s">
        <v>0</v>
      </c>
      <c r="BB7" s="73"/>
      <c r="BC7" s="73"/>
      <c r="BD7" s="73"/>
      <c r="BE7" s="73"/>
      <c r="BF7" s="73"/>
      <c r="BG7" s="89"/>
      <c r="BI7" s="87"/>
      <c r="BJ7" s="73"/>
      <c r="BK7" s="73" t="s">
        <v>0</v>
      </c>
      <c r="BL7" s="73"/>
      <c r="BM7" s="73"/>
      <c r="BN7" s="73"/>
      <c r="BO7" s="73"/>
      <c r="BP7" s="73"/>
      <c r="BQ7" s="89"/>
    </row>
    <row r="8" spans="1:69" ht="12" customHeight="1" x14ac:dyDescent="0.2">
      <c r="A8" s="73"/>
      <c r="B8" s="73"/>
      <c r="C8" s="73"/>
      <c r="D8" s="73" t="s">
        <v>1</v>
      </c>
      <c r="E8" s="73"/>
      <c r="F8" s="73"/>
      <c r="G8" s="73"/>
      <c r="H8" s="91"/>
      <c r="I8" s="92"/>
      <c r="J8" s="92"/>
      <c r="K8" s="92"/>
      <c r="L8" s="91"/>
      <c r="M8" s="92"/>
      <c r="N8" s="93"/>
      <c r="O8" s="92"/>
      <c r="P8" s="94"/>
      <c r="R8" s="73"/>
      <c r="S8" s="89"/>
      <c r="U8" s="73"/>
      <c r="V8" s="73"/>
      <c r="W8" s="73"/>
      <c r="X8" s="73"/>
      <c r="Y8" s="73" t="s">
        <v>1</v>
      </c>
      <c r="Z8" s="73"/>
      <c r="AA8" s="73"/>
      <c r="AB8" s="73"/>
      <c r="AC8" s="89"/>
      <c r="AE8" s="73"/>
      <c r="AF8" s="73"/>
      <c r="AG8" s="73"/>
      <c r="AH8" s="73"/>
      <c r="AI8" s="73" t="s">
        <v>1</v>
      </c>
      <c r="AJ8" s="73"/>
      <c r="AK8" s="73"/>
      <c r="AL8" s="73"/>
      <c r="AM8" s="81"/>
      <c r="AP8" s="73"/>
      <c r="AQ8" s="73"/>
      <c r="AR8" s="73"/>
      <c r="AS8" s="73" t="s">
        <v>1</v>
      </c>
      <c r="AT8" s="73"/>
      <c r="AU8" s="73"/>
      <c r="AV8" s="73"/>
      <c r="AW8" s="81"/>
      <c r="AY8" s="73"/>
      <c r="AZ8" s="73"/>
      <c r="BA8" s="73"/>
      <c r="BB8" s="73"/>
      <c r="BC8" s="73" t="s">
        <v>1</v>
      </c>
      <c r="BD8" s="73"/>
      <c r="BE8" s="73"/>
      <c r="BF8" s="73"/>
      <c r="BG8" s="89"/>
      <c r="BJ8" s="73"/>
      <c r="BK8" s="73"/>
      <c r="BL8" s="73"/>
      <c r="BM8" s="73" t="s">
        <v>1</v>
      </c>
      <c r="BN8" s="73"/>
      <c r="BO8" s="73"/>
      <c r="BP8" s="73"/>
      <c r="BQ8" s="89"/>
    </row>
    <row r="9" spans="1:69" ht="12" customHeight="1" x14ac:dyDescent="0.2">
      <c r="A9" s="73"/>
      <c r="B9" s="73"/>
      <c r="C9" s="73"/>
      <c r="D9" s="73"/>
      <c r="E9" s="73" t="s">
        <v>2</v>
      </c>
      <c r="F9" s="73"/>
      <c r="G9" s="73"/>
      <c r="H9" s="95"/>
      <c r="I9" s="89"/>
      <c r="J9" s="89"/>
      <c r="K9" s="89"/>
      <c r="L9" s="95"/>
      <c r="M9" s="89"/>
      <c r="N9" s="88"/>
      <c r="O9" s="89"/>
      <c r="P9" s="88"/>
      <c r="R9" s="73"/>
      <c r="S9" s="89"/>
      <c r="U9" s="73"/>
      <c r="V9" s="73"/>
      <c r="W9" s="73"/>
      <c r="X9" s="73"/>
      <c r="Y9" s="73"/>
      <c r="Z9" s="73" t="s">
        <v>2</v>
      </c>
      <c r="AA9" s="73"/>
      <c r="AB9" s="73"/>
      <c r="AC9" s="89"/>
      <c r="AE9" s="73"/>
      <c r="AF9" s="73"/>
      <c r="AG9" s="73"/>
      <c r="AH9" s="73"/>
      <c r="AI9" s="73"/>
      <c r="AJ9" s="73" t="s">
        <v>2</v>
      </c>
      <c r="AK9" s="73"/>
      <c r="AL9" s="73"/>
      <c r="AM9" s="81"/>
      <c r="AP9" s="73"/>
      <c r="AQ9" s="73"/>
      <c r="AR9" s="73"/>
      <c r="AS9" s="73"/>
      <c r="AT9" s="73" t="s">
        <v>2</v>
      </c>
      <c r="AU9" s="73"/>
      <c r="AV9" s="73"/>
      <c r="AW9" s="81"/>
      <c r="AY9" s="73"/>
      <c r="AZ9" s="73"/>
      <c r="BA9" s="73"/>
      <c r="BB9" s="73"/>
      <c r="BC9" s="73"/>
      <c r="BD9" s="73" t="s">
        <v>2</v>
      </c>
      <c r="BE9" s="73"/>
      <c r="BF9" s="73"/>
      <c r="BG9" s="89"/>
      <c r="BJ9" s="73"/>
      <c r="BK9" s="73"/>
      <c r="BL9" s="73"/>
      <c r="BM9" s="73"/>
      <c r="BN9" s="73" t="s">
        <v>2</v>
      </c>
      <c r="BO9" s="73"/>
      <c r="BP9" s="73"/>
      <c r="BQ9" s="89"/>
    </row>
    <row r="10" spans="1:69" ht="12" customHeight="1" x14ac:dyDescent="0.2">
      <c r="A10" s="73"/>
      <c r="B10" s="73"/>
      <c r="C10" s="73"/>
      <c r="D10" s="73"/>
      <c r="E10" s="73"/>
      <c r="F10" s="73" t="s">
        <v>3</v>
      </c>
      <c r="G10" s="73"/>
      <c r="H10" s="96">
        <v>543310</v>
      </c>
      <c r="I10" s="97">
        <v>56198</v>
      </c>
      <c r="J10" s="97">
        <v>99667</v>
      </c>
      <c r="K10" s="98">
        <f>SUM(H10:J10)</f>
        <v>699175</v>
      </c>
      <c r="L10" s="99">
        <v>813000</v>
      </c>
      <c r="M10" s="100">
        <v>789698</v>
      </c>
      <c r="N10" s="101">
        <f>+K10*1.03-150</f>
        <v>720000.25</v>
      </c>
      <c r="O10" s="102">
        <f t="shared" ref="O10:O14" si="0">N10-K10</f>
        <v>20825.25</v>
      </c>
      <c r="P10" s="103">
        <f>N10-M10</f>
        <v>-69697.75</v>
      </c>
      <c r="R10" s="104" t="s">
        <v>257</v>
      </c>
      <c r="S10" s="89"/>
      <c r="U10" s="73"/>
      <c r="V10" s="73"/>
      <c r="W10" s="73"/>
      <c r="X10" s="73"/>
      <c r="Y10" s="73"/>
      <c r="Z10" s="73"/>
      <c r="AA10" s="73" t="s">
        <v>3</v>
      </c>
      <c r="AB10" s="73"/>
      <c r="AC10" s="89">
        <v>484909.45</v>
      </c>
      <c r="AE10" s="73"/>
      <c r="AF10" s="73"/>
      <c r="AG10" s="73"/>
      <c r="AH10" s="73"/>
      <c r="AI10" s="73"/>
      <c r="AJ10" s="73"/>
      <c r="AK10" s="73" t="s">
        <v>3</v>
      </c>
      <c r="AL10" s="73"/>
      <c r="AM10" s="81">
        <v>75714.070000000007</v>
      </c>
      <c r="AP10" s="73"/>
      <c r="AQ10" s="73"/>
      <c r="AR10" s="73"/>
      <c r="AS10" s="73"/>
      <c r="AT10" s="73"/>
      <c r="AU10" s="73" t="s">
        <v>3</v>
      </c>
      <c r="AV10" s="73"/>
      <c r="AW10" s="81">
        <v>99022.399999999994</v>
      </c>
      <c r="AY10" s="73"/>
      <c r="AZ10" s="73"/>
      <c r="BA10" s="73"/>
      <c r="BB10" s="73"/>
      <c r="BC10" s="73"/>
      <c r="BD10" s="73"/>
      <c r="BE10" s="73" t="s">
        <v>3</v>
      </c>
      <c r="BF10" s="73"/>
      <c r="BG10" s="89">
        <v>789698</v>
      </c>
      <c r="BJ10" s="73"/>
      <c r="BK10" s="73"/>
      <c r="BL10" s="73"/>
      <c r="BM10" s="73"/>
      <c r="BN10" s="73"/>
      <c r="BO10" s="73" t="s">
        <v>3</v>
      </c>
      <c r="BP10" s="73"/>
      <c r="BQ10" s="89">
        <v>813000</v>
      </c>
    </row>
    <row r="11" spans="1:69" ht="12" customHeight="1" x14ac:dyDescent="0.2">
      <c r="A11" s="73"/>
      <c r="B11" s="73"/>
      <c r="C11" s="73"/>
      <c r="D11" s="73"/>
      <c r="E11" s="73"/>
      <c r="F11" s="73" t="s">
        <v>92</v>
      </c>
      <c r="G11" s="73"/>
      <c r="H11" s="96">
        <v>36947.199999999997</v>
      </c>
      <c r="I11" s="97"/>
      <c r="J11" s="97"/>
      <c r="K11" s="98">
        <f t="shared" ref="K11:K14" si="1">SUM(H11:J11)</f>
        <v>36947.199999999997</v>
      </c>
      <c r="L11" s="99"/>
      <c r="M11" s="100"/>
      <c r="N11" s="101">
        <v>2500</v>
      </c>
      <c r="O11" s="102">
        <f t="shared" si="0"/>
        <v>-34447.199999999997</v>
      </c>
      <c r="P11" s="103">
        <f t="shared" ref="P11:P14" si="2">N11-M11</f>
        <v>2500</v>
      </c>
      <c r="R11" s="105"/>
      <c r="S11" s="89"/>
      <c r="U11" s="73"/>
      <c r="V11" s="73"/>
      <c r="W11" s="73"/>
      <c r="X11" s="73"/>
      <c r="Y11" s="73"/>
      <c r="Z11" s="73"/>
      <c r="AA11" s="73" t="s">
        <v>92</v>
      </c>
      <c r="AB11" s="73"/>
      <c r="AC11" s="89">
        <v>36947.199999999997</v>
      </c>
      <c r="AE11" s="73"/>
      <c r="AF11" s="73"/>
      <c r="AG11" s="73"/>
      <c r="AH11" s="73"/>
      <c r="AI11" s="73"/>
      <c r="AJ11" s="73"/>
      <c r="AK11" s="73" t="s">
        <v>4</v>
      </c>
      <c r="AL11" s="73"/>
      <c r="AM11" s="81">
        <v>150</v>
      </c>
      <c r="AP11" s="73"/>
      <c r="AQ11" s="73"/>
      <c r="AR11" s="73"/>
      <c r="AS11" s="73"/>
      <c r="AT11" s="73"/>
      <c r="AU11" s="73" t="s">
        <v>4</v>
      </c>
      <c r="AV11" s="73"/>
      <c r="AW11" s="81">
        <v>0</v>
      </c>
      <c r="AY11" s="73"/>
      <c r="AZ11" s="73"/>
      <c r="BA11" s="73"/>
      <c r="BB11" s="73"/>
      <c r="BC11" s="73"/>
      <c r="BD11" s="73"/>
      <c r="BE11" s="73" t="s">
        <v>92</v>
      </c>
      <c r="BF11" s="73"/>
      <c r="BG11" s="89"/>
      <c r="BJ11" s="73"/>
      <c r="BK11" s="73"/>
      <c r="BL11" s="73"/>
      <c r="BM11" s="73"/>
      <c r="BN11" s="73"/>
      <c r="BO11" s="73" t="s">
        <v>4</v>
      </c>
      <c r="BP11" s="73"/>
      <c r="BQ11" s="89">
        <v>400</v>
      </c>
    </row>
    <row r="12" spans="1:69" ht="12" customHeight="1" x14ac:dyDescent="0.2">
      <c r="A12" s="73"/>
      <c r="B12" s="73"/>
      <c r="C12" s="73"/>
      <c r="D12" s="73"/>
      <c r="E12" s="73"/>
      <c r="F12" s="73" t="s">
        <v>4</v>
      </c>
      <c r="G12" s="73"/>
      <c r="H12" s="96">
        <v>575</v>
      </c>
      <c r="I12" s="97">
        <v>150</v>
      </c>
      <c r="J12" s="97">
        <v>0</v>
      </c>
      <c r="K12" s="98">
        <f t="shared" si="1"/>
        <v>725</v>
      </c>
      <c r="L12" s="99">
        <v>400</v>
      </c>
      <c r="M12" s="100">
        <v>380</v>
      </c>
      <c r="N12" s="101">
        <v>500</v>
      </c>
      <c r="O12" s="102">
        <f t="shared" si="0"/>
        <v>-225</v>
      </c>
      <c r="P12" s="103">
        <f t="shared" si="2"/>
        <v>120</v>
      </c>
      <c r="R12" s="105"/>
      <c r="S12" s="89"/>
      <c r="U12" s="73"/>
      <c r="V12" s="73"/>
      <c r="W12" s="73"/>
      <c r="X12" s="73"/>
      <c r="Y12" s="73"/>
      <c r="Z12" s="73"/>
      <c r="AA12" s="73" t="s">
        <v>4</v>
      </c>
      <c r="AB12" s="73"/>
      <c r="AC12" s="89">
        <v>575</v>
      </c>
      <c r="AE12" s="73"/>
      <c r="AF12" s="73"/>
      <c r="AG12" s="73"/>
      <c r="AH12" s="73"/>
      <c r="AI12" s="73"/>
      <c r="AJ12" s="73"/>
      <c r="AK12" s="73" t="s">
        <v>5</v>
      </c>
      <c r="AL12" s="73"/>
      <c r="AM12" s="81">
        <v>267.91000000000003</v>
      </c>
      <c r="AP12" s="73"/>
      <c r="AQ12" s="73"/>
      <c r="AR12" s="73"/>
      <c r="AS12" s="73"/>
      <c r="AT12" s="73"/>
      <c r="AU12" s="73" t="s">
        <v>5</v>
      </c>
      <c r="AV12" s="73"/>
      <c r="AW12" s="81">
        <v>143.71</v>
      </c>
      <c r="AY12" s="73"/>
      <c r="AZ12" s="73"/>
      <c r="BA12" s="73"/>
      <c r="BB12" s="73"/>
      <c r="BC12" s="73"/>
      <c r="BD12" s="73"/>
      <c r="BE12" s="73" t="s">
        <v>4</v>
      </c>
      <c r="BF12" s="73"/>
      <c r="BG12" s="89">
        <v>380</v>
      </c>
      <c r="BJ12" s="73"/>
      <c r="BK12" s="73"/>
      <c r="BL12" s="73"/>
      <c r="BM12" s="73"/>
      <c r="BN12" s="73"/>
      <c r="BO12" s="73" t="s">
        <v>5</v>
      </c>
      <c r="BP12" s="73"/>
      <c r="BQ12" s="89">
        <v>5800</v>
      </c>
    </row>
    <row r="13" spans="1:69" ht="12" customHeight="1" thickBot="1" x14ac:dyDescent="0.25">
      <c r="A13" s="73"/>
      <c r="B13" s="73"/>
      <c r="C13" s="73"/>
      <c r="D13" s="73"/>
      <c r="E13" s="73"/>
      <c r="F13" s="73" t="s">
        <v>5</v>
      </c>
      <c r="G13" s="73"/>
      <c r="H13" s="96">
        <v>74212.320000000007</v>
      </c>
      <c r="I13" s="97">
        <v>267.91000000000003</v>
      </c>
      <c r="J13" s="97">
        <v>143.71</v>
      </c>
      <c r="K13" s="98">
        <f t="shared" si="1"/>
        <v>74623.940000000017</v>
      </c>
      <c r="L13" s="99">
        <v>5800</v>
      </c>
      <c r="M13" s="100">
        <v>2500</v>
      </c>
      <c r="N13" s="101">
        <v>2500</v>
      </c>
      <c r="O13" s="102">
        <f t="shared" si="0"/>
        <v>-72123.940000000017</v>
      </c>
      <c r="P13" s="103">
        <f t="shared" si="2"/>
        <v>0</v>
      </c>
      <c r="R13" s="105"/>
      <c r="S13" s="89"/>
      <c r="U13" s="73"/>
      <c r="V13" s="73"/>
      <c r="W13" s="73"/>
      <c r="X13" s="73"/>
      <c r="Y13" s="73"/>
      <c r="Z13" s="73"/>
      <c r="AA13" s="73" t="s">
        <v>5</v>
      </c>
      <c r="AB13" s="73"/>
      <c r="AC13" s="89">
        <v>74212.320000000007</v>
      </c>
      <c r="AE13" s="73"/>
      <c r="AF13" s="73"/>
      <c r="AG13" s="73"/>
      <c r="AH13" s="73"/>
      <c r="AI13" s="73"/>
      <c r="AJ13" s="73"/>
      <c r="AK13" s="73" t="s">
        <v>6</v>
      </c>
      <c r="AL13" s="73"/>
      <c r="AM13" s="81">
        <v>2800</v>
      </c>
      <c r="AP13" s="73"/>
      <c r="AQ13" s="73"/>
      <c r="AR13" s="73"/>
      <c r="AS13" s="73"/>
      <c r="AT13" s="73"/>
      <c r="AU13" s="73" t="s">
        <v>6</v>
      </c>
      <c r="AV13" s="73"/>
      <c r="AW13" s="81">
        <v>2800</v>
      </c>
      <c r="AY13" s="73"/>
      <c r="AZ13" s="73"/>
      <c r="BA13" s="73"/>
      <c r="BB13" s="73"/>
      <c r="BC13" s="73"/>
      <c r="BD13" s="73"/>
      <c r="BE13" s="73" t="s">
        <v>5</v>
      </c>
      <c r="BF13" s="73"/>
      <c r="BG13" s="89">
        <v>2500</v>
      </c>
      <c r="BJ13" s="73"/>
      <c r="BK13" s="73"/>
      <c r="BL13" s="73"/>
      <c r="BM13" s="73"/>
      <c r="BN13" s="73"/>
      <c r="BO13" s="73" t="s">
        <v>6</v>
      </c>
      <c r="BP13" s="73"/>
      <c r="BQ13" s="89">
        <v>33600</v>
      </c>
    </row>
    <row r="14" spans="1:69" ht="12" customHeight="1" thickBot="1" x14ac:dyDescent="0.25">
      <c r="A14" s="73"/>
      <c r="B14" s="106"/>
      <c r="C14" s="106"/>
      <c r="D14" s="106"/>
      <c r="E14" s="106"/>
      <c r="F14" s="106" t="s">
        <v>6</v>
      </c>
      <c r="G14" s="107"/>
      <c r="H14" s="96">
        <v>29000</v>
      </c>
      <c r="I14" s="97">
        <v>2900</v>
      </c>
      <c r="J14" s="97">
        <v>2900</v>
      </c>
      <c r="K14" s="98">
        <f t="shared" si="1"/>
        <v>34800</v>
      </c>
      <c r="L14" s="99">
        <v>33600</v>
      </c>
      <c r="M14" s="100">
        <v>34800</v>
      </c>
      <c r="N14" s="101">
        <f>1500*2*12-100</f>
        <v>35900</v>
      </c>
      <c r="O14" s="102">
        <f t="shared" si="0"/>
        <v>1100</v>
      </c>
      <c r="P14" s="103">
        <f t="shared" si="2"/>
        <v>1100</v>
      </c>
      <c r="R14" s="104" t="s">
        <v>248</v>
      </c>
      <c r="S14" s="89"/>
      <c r="U14" s="73"/>
      <c r="V14" s="73"/>
      <c r="W14" s="73"/>
      <c r="X14" s="73"/>
      <c r="Y14" s="73"/>
      <c r="Z14" s="73"/>
      <c r="AA14" s="73" t="s">
        <v>6</v>
      </c>
      <c r="AB14" s="73"/>
      <c r="AC14" s="89">
        <v>29000</v>
      </c>
      <c r="AE14" s="73"/>
      <c r="AF14" s="73"/>
      <c r="AG14" s="73"/>
      <c r="AH14" s="73"/>
      <c r="AI14" s="73"/>
      <c r="AJ14" s="73" t="s">
        <v>7</v>
      </c>
      <c r="AK14" s="73"/>
      <c r="AL14" s="73"/>
      <c r="AM14" s="108">
        <f>ROUND(SUM(AM9:AM13),5)</f>
        <v>78931.98</v>
      </c>
      <c r="AP14" s="73"/>
      <c r="AQ14" s="73"/>
      <c r="AR14" s="73"/>
      <c r="AS14" s="73"/>
      <c r="AT14" s="73" t="s">
        <v>7</v>
      </c>
      <c r="AU14" s="73"/>
      <c r="AV14" s="73"/>
      <c r="AW14" s="108">
        <f>ROUND(SUM(AW9:AW13),5)</f>
        <v>101966.11</v>
      </c>
      <c r="AY14" s="73"/>
      <c r="AZ14" s="73"/>
      <c r="BA14" s="73"/>
      <c r="BB14" s="73"/>
      <c r="BC14" s="73"/>
      <c r="BD14" s="73"/>
      <c r="BE14" s="73" t="s">
        <v>6</v>
      </c>
      <c r="BF14" s="73"/>
      <c r="BG14" s="89">
        <v>34800</v>
      </c>
      <c r="BJ14" s="73"/>
      <c r="BK14" s="73"/>
      <c r="BL14" s="73"/>
      <c r="BM14" s="73"/>
      <c r="BN14" s="73" t="s">
        <v>7</v>
      </c>
      <c r="BO14" s="73"/>
      <c r="BP14" s="73"/>
      <c r="BQ14" s="109">
        <f>ROUND(SUM(BQ9:BQ13),5)</f>
        <v>852800</v>
      </c>
    </row>
    <row r="15" spans="1:69" ht="12" customHeight="1" thickBot="1" x14ac:dyDescent="0.25">
      <c r="A15" s="73"/>
      <c r="B15" s="110"/>
      <c r="C15" s="110"/>
      <c r="D15" s="110"/>
      <c r="E15" s="110" t="s">
        <v>7</v>
      </c>
      <c r="F15" s="110"/>
      <c r="G15" s="111"/>
      <c r="H15" s="112">
        <f>ROUND(SUM(H10:H14),5)</f>
        <v>684044.52</v>
      </c>
      <c r="I15" s="113">
        <f t="shared" ref="I15:M15" si="3">ROUND(SUM(I10:I14),5)</f>
        <v>59515.91</v>
      </c>
      <c r="J15" s="113">
        <f t="shared" si="3"/>
        <v>102710.71</v>
      </c>
      <c r="K15" s="113">
        <f t="shared" si="3"/>
        <v>846271.14</v>
      </c>
      <c r="L15" s="112">
        <f t="shared" si="3"/>
        <v>852800</v>
      </c>
      <c r="M15" s="113">
        <f t="shared" si="3"/>
        <v>827378</v>
      </c>
      <c r="N15" s="114">
        <f t="shared" ref="N15" si="4">ROUND(SUM(N10:N14),5)</f>
        <v>761400.25</v>
      </c>
      <c r="O15" s="113">
        <f t="shared" ref="O15" si="5">ROUND(SUM(O10:O14),5)</f>
        <v>-84870.89</v>
      </c>
      <c r="P15" s="114">
        <f t="shared" ref="P15" si="6">ROUND(SUM(P10:P14),5)</f>
        <v>-65977.75</v>
      </c>
      <c r="R15" s="105"/>
      <c r="S15" s="89"/>
      <c r="U15" s="73"/>
      <c r="V15" s="73"/>
      <c r="W15" s="73"/>
      <c r="X15" s="73"/>
      <c r="Y15" s="73"/>
      <c r="Z15" s="73" t="s">
        <v>7</v>
      </c>
      <c r="AA15" s="73"/>
      <c r="AB15" s="73"/>
      <c r="AC15" s="109">
        <f>ROUND(SUM(AC9:AC14),5)</f>
        <v>625643.97</v>
      </c>
      <c r="AE15" s="73"/>
      <c r="AF15" s="73"/>
      <c r="AG15" s="73"/>
      <c r="AH15" s="73"/>
      <c r="AI15" s="73" t="s">
        <v>8</v>
      </c>
      <c r="AJ15" s="73"/>
      <c r="AK15" s="73"/>
      <c r="AL15" s="73"/>
      <c r="AM15" s="115">
        <f>ROUND(AM8+AM14,5)</f>
        <v>78931.98</v>
      </c>
      <c r="AP15" s="73"/>
      <c r="AQ15" s="73"/>
      <c r="AR15" s="73"/>
      <c r="AS15" s="73" t="s">
        <v>8</v>
      </c>
      <c r="AT15" s="73"/>
      <c r="AU15" s="73"/>
      <c r="AV15" s="73"/>
      <c r="AW15" s="115">
        <f>ROUND(AW8+AW14,5)</f>
        <v>101966.11</v>
      </c>
      <c r="AY15" s="73"/>
      <c r="AZ15" s="73"/>
      <c r="BA15" s="73"/>
      <c r="BB15" s="73"/>
      <c r="BC15" s="73"/>
      <c r="BD15" s="73" t="s">
        <v>7</v>
      </c>
      <c r="BE15" s="73"/>
      <c r="BF15" s="73"/>
      <c r="BG15" s="109">
        <f>ROUND(SUM(BG9:BG14),5)</f>
        <v>827378</v>
      </c>
      <c r="BJ15" s="73"/>
      <c r="BK15" s="73"/>
      <c r="BL15" s="73"/>
      <c r="BM15" s="73" t="s">
        <v>8</v>
      </c>
      <c r="BN15" s="73"/>
      <c r="BO15" s="73"/>
      <c r="BP15" s="73"/>
      <c r="BQ15" s="116">
        <f>ROUND(BQ8+BQ14,5)</f>
        <v>852800</v>
      </c>
    </row>
    <row r="16" spans="1:69" ht="12" customHeight="1" thickBot="1" x14ac:dyDescent="0.25">
      <c r="A16" s="73"/>
      <c r="B16" s="117"/>
      <c r="C16" s="117"/>
      <c r="D16" s="117" t="s">
        <v>8</v>
      </c>
      <c r="E16" s="117"/>
      <c r="F16" s="117"/>
      <c r="G16" s="118"/>
      <c r="H16" s="119">
        <f>ROUND(H15,5)</f>
        <v>684044.52</v>
      </c>
      <c r="I16" s="120">
        <f t="shared" ref="I16:N16" si="7">ROUND(I15,5)</f>
        <v>59515.91</v>
      </c>
      <c r="J16" s="120">
        <f t="shared" si="7"/>
        <v>102710.71</v>
      </c>
      <c r="K16" s="120">
        <f t="shared" si="7"/>
        <v>846271.14</v>
      </c>
      <c r="L16" s="119">
        <f t="shared" si="7"/>
        <v>852800</v>
      </c>
      <c r="M16" s="120">
        <f t="shared" si="7"/>
        <v>827378</v>
      </c>
      <c r="N16" s="121">
        <f t="shared" si="7"/>
        <v>761400.25</v>
      </c>
      <c r="O16" s="120">
        <f t="shared" ref="O16" si="8">ROUND(O15,5)</f>
        <v>-84870.89</v>
      </c>
      <c r="P16" s="121">
        <f t="shared" ref="P16" si="9">ROUND(P15,5)</f>
        <v>-65977.75</v>
      </c>
      <c r="R16" s="105"/>
      <c r="S16" s="89"/>
      <c r="U16" s="73"/>
      <c r="V16" s="73"/>
      <c r="W16" s="73"/>
      <c r="X16" s="73"/>
      <c r="Y16" s="73" t="s">
        <v>8</v>
      </c>
      <c r="Z16" s="73"/>
      <c r="AA16" s="73"/>
      <c r="AB16" s="73"/>
      <c r="AC16" s="116">
        <f>ROUND(AC8+AC15,5)</f>
        <v>625643.97</v>
      </c>
      <c r="AE16" s="73"/>
      <c r="AF16" s="73"/>
      <c r="AG16" s="73"/>
      <c r="AH16" s="73" t="s">
        <v>116</v>
      </c>
      <c r="AI16" s="73"/>
      <c r="AJ16" s="73"/>
      <c r="AK16" s="73"/>
      <c r="AL16" s="73"/>
      <c r="AM16" s="81">
        <f>AM15</f>
        <v>78931.98</v>
      </c>
      <c r="AP16" s="73"/>
      <c r="AQ16" s="73"/>
      <c r="AR16" s="73" t="s">
        <v>116</v>
      </c>
      <c r="AS16" s="73"/>
      <c r="AT16" s="73"/>
      <c r="AU16" s="73"/>
      <c r="AV16" s="73"/>
      <c r="AW16" s="81">
        <f>AW15</f>
        <v>101966.11</v>
      </c>
      <c r="AY16" s="73"/>
      <c r="AZ16" s="73"/>
      <c r="BA16" s="73"/>
      <c r="BB16" s="73"/>
      <c r="BC16" s="73" t="s">
        <v>8</v>
      </c>
      <c r="BD16" s="73"/>
      <c r="BE16" s="73"/>
      <c r="BF16" s="73"/>
      <c r="BG16" s="116">
        <f>ROUND(BG8+BG15,5)</f>
        <v>827378</v>
      </c>
      <c r="BJ16" s="73"/>
      <c r="BK16" s="73"/>
      <c r="BL16" s="73" t="s">
        <v>116</v>
      </c>
      <c r="BM16" s="73"/>
      <c r="BN16" s="73"/>
      <c r="BO16" s="73"/>
      <c r="BP16" s="73"/>
      <c r="BQ16" s="89">
        <f>BQ15</f>
        <v>852800</v>
      </c>
    </row>
    <row r="17" spans="1:69" ht="12" customHeight="1" x14ac:dyDescent="0.2">
      <c r="A17" s="73"/>
      <c r="B17" s="73"/>
      <c r="C17" s="73"/>
      <c r="D17" s="73" t="s">
        <v>9</v>
      </c>
      <c r="E17" s="73"/>
      <c r="F17" s="73"/>
      <c r="G17" s="73"/>
      <c r="H17" s="122"/>
      <c r="I17" s="123"/>
      <c r="J17" s="123"/>
      <c r="K17" s="123"/>
      <c r="L17" s="122"/>
      <c r="M17" s="123"/>
      <c r="N17" s="124"/>
      <c r="O17" s="123"/>
      <c r="P17" s="124"/>
      <c r="R17" s="105"/>
      <c r="S17" s="89"/>
      <c r="U17" s="73"/>
      <c r="V17" s="73"/>
      <c r="W17" s="73"/>
      <c r="X17" s="73" t="s">
        <v>116</v>
      </c>
      <c r="Y17" s="73"/>
      <c r="Z17" s="73"/>
      <c r="AA17" s="73"/>
      <c r="AB17" s="73"/>
      <c r="AC17" s="89">
        <f>AC16</f>
        <v>625643.97</v>
      </c>
      <c r="AE17" s="73"/>
      <c r="AF17" s="73"/>
      <c r="AG17" s="73"/>
      <c r="AH17" s="73"/>
      <c r="AI17" s="73" t="s">
        <v>9</v>
      </c>
      <c r="AJ17" s="73"/>
      <c r="AK17" s="73"/>
      <c r="AL17" s="73"/>
      <c r="AM17" s="81"/>
      <c r="AP17" s="73"/>
      <c r="AQ17" s="73"/>
      <c r="AR17" s="73"/>
      <c r="AS17" s="73" t="s">
        <v>9</v>
      </c>
      <c r="AT17" s="73"/>
      <c r="AU17" s="73"/>
      <c r="AV17" s="73"/>
      <c r="AW17" s="81"/>
      <c r="AY17" s="73"/>
      <c r="AZ17" s="73"/>
      <c r="BA17" s="73"/>
      <c r="BB17" s="73" t="s">
        <v>116</v>
      </c>
      <c r="BC17" s="73"/>
      <c r="BD17" s="73"/>
      <c r="BE17" s="73"/>
      <c r="BF17" s="73"/>
      <c r="BG17" s="89">
        <f>BG16</f>
        <v>827378</v>
      </c>
      <c r="BJ17" s="73"/>
      <c r="BK17" s="73"/>
      <c r="BL17" s="73"/>
      <c r="BM17" s="73" t="s">
        <v>9</v>
      </c>
      <c r="BN17" s="73"/>
      <c r="BO17" s="73"/>
      <c r="BP17" s="73"/>
      <c r="BQ17" s="89"/>
    </row>
    <row r="18" spans="1:69" ht="12" customHeight="1" x14ac:dyDescent="0.2">
      <c r="A18" s="73"/>
      <c r="B18" s="73"/>
      <c r="C18" s="73"/>
      <c r="D18" s="73"/>
      <c r="E18" s="73" t="s">
        <v>10</v>
      </c>
      <c r="F18" s="73"/>
      <c r="G18" s="73"/>
      <c r="H18" s="122"/>
      <c r="I18" s="123"/>
      <c r="J18" s="123"/>
      <c r="K18" s="123"/>
      <c r="L18" s="122"/>
      <c r="M18" s="123"/>
      <c r="N18" s="124"/>
      <c r="O18" s="123"/>
      <c r="P18" s="124"/>
      <c r="R18" s="105"/>
      <c r="S18" s="89"/>
      <c r="U18" s="73"/>
      <c r="V18" s="73"/>
      <c r="W18" s="73"/>
      <c r="X18" s="73"/>
      <c r="Y18" s="73" t="s">
        <v>9</v>
      </c>
      <c r="Z18" s="73"/>
      <c r="AA18" s="73"/>
      <c r="AB18" s="73"/>
      <c r="AC18" s="89"/>
      <c r="AE18" s="73"/>
      <c r="AF18" s="73"/>
      <c r="AG18" s="73"/>
      <c r="AH18" s="73"/>
      <c r="AI18" s="73"/>
      <c r="AJ18" s="73" t="s">
        <v>10</v>
      </c>
      <c r="AK18" s="73"/>
      <c r="AL18" s="73"/>
      <c r="AM18" s="81"/>
      <c r="AP18" s="73"/>
      <c r="AQ18" s="73"/>
      <c r="AR18" s="73"/>
      <c r="AS18" s="73"/>
      <c r="AT18" s="73" t="s">
        <v>10</v>
      </c>
      <c r="AU18" s="73"/>
      <c r="AV18" s="73"/>
      <c r="AW18" s="81"/>
      <c r="AY18" s="73"/>
      <c r="AZ18" s="73"/>
      <c r="BA18" s="73"/>
      <c r="BB18" s="73"/>
      <c r="BC18" s="73" t="s">
        <v>9</v>
      </c>
      <c r="BD18" s="73"/>
      <c r="BE18" s="73"/>
      <c r="BF18" s="73"/>
      <c r="BG18" s="89"/>
      <c r="BJ18" s="73"/>
      <c r="BK18" s="73"/>
      <c r="BL18" s="73"/>
      <c r="BM18" s="73"/>
      <c r="BN18" s="73" t="s">
        <v>10</v>
      </c>
      <c r="BO18" s="73"/>
      <c r="BP18" s="73"/>
      <c r="BQ18" s="89"/>
    </row>
    <row r="19" spans="1:69" ht="12" customHeight="1" x14ac:dyDescent="0.2">
      <c r="A19" s="73"/>
      <c r="B19" s="73"/>
      <c r="C19" s="73"/>
      <c r="D19" s="73"/>
      <c r="E19" s="73"/>
      <c r="F19" s="73" t="s">
        <v>11</v>
      </c>
      <c r="G19" s="73"/>
      <c r="H19" s="122"/>
      <c r="I19" s="123"/>
      <c r="J19" s="123"/>
      <c r="K19" s="123"/>
      <c r="L19" s="122"/>
      <c r="M19" s="123"/>
      <c r="N19" s="124"/>
      <c r="O19" s="123"/>
      <c r="P19" s="124"/>
      <c r="R19" s="105"/>
      <c r="S19" s="89"/>
      <c r="U19" s="73"/>
      <c r="V19" s="73"/>
      <c r="W19" s="73"/>
      <c r="X19" s="73"/>
      <c r="Y19" s="73"/>
      <c r="Z19" s="73" t="s">
        <v>10</v>
      </c>
      <c r="AA19" s="73"/>
      <c r="AB19" s="73"/>
      <c r="AC19" s="89"/>
      <c r="AE19" s="73"/>
      <c r="AF19" s="73"/>
      <c r="AG19" s="73"/>
      <c r="AH19" s="73"/>
      <c r="AI19" s="73"/>
      <c r="AJ19" s="73"/>
      <c r="AK19" s="73" t="s">
        <v>11</v>
      </c>
      <c r="AL19" s="73"/>
      <c r="AM19" s="81"/>
      <c r="AP19" s="73"/>
      <c r="AQ19" s="73"/>
      <c r="AR19" s="73"/>
      <c r="AS19" s="73"/>
      <c r="AT19" s="73"/>
      <c r="AU19" s="73" t="s">
        <v>11</v>
      </c>
      <c r="AV19" s="73"/>
      <c r="AW19" s="81"/>
      <c r="AY19" s="73"/>
      <c r="AZ19" s="73"/>
      <c r="BA19" s="73"/>
      <c r="BB19" s="73"/>
      <c r="BC19" s="73"/>
      <c r="BD19" s="73" t="s">
        <v>10</v>
      </c>
      <c r="BE19" s="73"/>
      <c r="BF19" s="73"/>
      <c r="BG19" s="89"/>
      <c r="BJ19" s="73"/>
      <c r="BK19" s="73"/>
      <c r="BL19" s="73"/>
      <c r="BM19" s="73"/>
      <c r="BN19" s="73"/>
      <c r="BO19" s="73" t="s">
        <v>11</v>
      </c>
      <c r="BP19" s="73"/>
      <c r="BQ19" s="89"/>
    </row>
    <row r="20" spans="1:69" ht="12" customHeight="1" x14ac:dyDescent="0.2">
      <c r="A20" s="73"/>
      <c r="B20" s="73"/>
      <c r="C20" s="73"/>
      <c r="D20" s="73"/>
      <c r="E20" s="73"/>
      <c r="F20" s="73"/>
      <c r="G20" s="73" t="s">
        <v>12</v>
      </c>
      <c r="H20" s="96">
        <v>10182.61</v>
      </c>
      <c r="I20" s="97">
        <v>699.51</v>
      </c>
      <c r="J20" s="97">
        <v>722.83</v>
      </c>
      <c r="K20" s="98">
        <f t="shared" ref="K20:K35" si="10">SUM(H20:J20)</f>
        <v>11604.95</v>
      </c>
      <c r="L20" s="125">
        <v>12000</v>
      </c>
      <c r="M20" s="100">
        <v>12540</v>
      </c>
      <c r="N20" s="101">
        <v>12000</v>
      </c>
      <c r="O20" s="102">
        <f>N20-K20</f>
        <v>395.04999999999927</v>
      </c>
      <c r="P20" s="103">
        <f t="shared" ref="P20:P35" si="11">N20-M20</f>
        <v>-540</v>
      </c>
      <c r="R20" s="105"/>
      <c r="S20" s="89"/>
      <c r="U20" s="73"/>
      <c r="V20" s="73"/>
      <c r="W20" s="73"/>
      <c r="X20" s="73"/>
      <c r="Y20" s="73"/>
      <c r="Z20" s="73"/>
      <c r="AA20" s="73" t="s">
        <v>11</v>
      </c>
      <c r="AB20" s="73"/>
      <c r="AC20" s="89"/>
      <c r="AE20" s="73"/>
      <c r="AF20" s="73"/>
      <c r="AG20" s="73"/>
      <c r="AH20" s="73"/>
      <c r="AI20" s="73"/>
      <c r="AJ20" s="73"/>
      <c r="AK20" s="73"/>
      <c r="AL20" s="73" t="s">
        <v>12</v>
      </c>
      <c r="AM20" s="81">
        <v>699.51</v>
      </c>
      <c r="AP20" s="73"/>
      <c r="AQ20" s="73"/>
      <c r="AR20" s="73"/>
      <c r="AS20" s="73"/>
      <c r="AT20" s="73"/>
      <c r="AU20" s="73"/>
      <c r="AV20" s="73" t="s">
        <v>12</v>
      </c>
      <c r="AW20" s="81">
        <v>722.83</v>
      </c>
      <c r="AY20" s="73"/>
      <c r="AZ20" s="73"/>
      <c r="BA20" s="73"/>
      <c r="BB20" s="73"/>
      <c r="BC20" s="73"/>
      <c r="BD20" s="73"/>
      <c r="BE20" s="73" t="s">
        <v>11</v>
      </c>
      <c r="BF20" s="73"/>
      <c r="BG20" s="89"/>
      <c r="BJ20" s="73"/>
      <c r="BK20" s="73"/>
      <c r="BL20" s="73"/>
      <c r="BM20" s="73"/>
      <c r="BN20" s="73"/>
      <c r="BO20" s="73"/>
      <c r="BP20" s="73" t="s">
        <v>12</v>
      </c>
      <c r="BQ20" s="89">
        <v>12000</v>
      </c>
    </row>
    <row r="21" spans="1:69" ht="12" customHeight="1" x14ac:dyDescent="0.2">
      <c r="A21" s="73"/>
      <c r="B21" s="73"/>
      <c r="C21" s="73"/>
      <c r="D21" s="73"/>
      <c r="E21" s="73"/>
      <c r="F21" s="73"/>
      <c r="G21" s="73" t="s">
        <v>13</v>
      </c>
      <c r="H21" s="96">
        <v>5353.07</v>
      </c>
      <c r="I21" s="97">
        <v>101.5</v>
      </c>
      <c r="J21" s="97">
        <v>498.48</v>
      </c>
      <c r="K21" s="98">
        <f t="shared" si="10"/>
        <v>5953.0499999999993</v>
      </c>
      <c r="L21" s="125">
        <v>5000</v>
      </c>
      <c r="M21" s="100">
        <v>6050</v>
      </c>
      <c r="N21" s="101">
        <v>6000</v>
      </c>
      <c r="O21" s="102">
        <f t="shared" ref="O21:O35" si="12">N21-K21</f>
        <v>46.950000000000728</v>
      </c>
      <c r="P21" s="103">
        <f t="shared" si="11"/>
        <v>-50</v>
      </c>
      <c r="R21" s="105"/>
      <c r="S21" s="89"/>
      <c r="U21" s="73"/>
      <c r="V21" s="73"/>
      <c r="W21" s="73"/>
      <c r="X21" s="73"/>
      <c r="Y21" s="73"/>
      <c r="Z21" s="73"/>
      <c r="AA21" s="73"/>
      <c r="AB21" s="73" t="s">
        <v>12</v>
      </c>
      <c r="AC21" s="89">
        <v>10182.61</v>
      </c>
      <c r="AE21" s="73"/>
      <c r="AF21" s="73"/>
      <c r="AG21" s="73"/>
      <c r="AH21" s="73"/>
      <c r="AI21" s="73"/>
      <c r="AJ21" s="73"/>
      <c r="AK21" s="73"/>
      <c r="AL21" s="73" t="s">
        <v>13</v>
      </c>
      <c r="AM21" s="81">
        <v>101.5</v>
      </c>
      <c r="AP21" s="73"/>
      <c r="AQ21" s="73"/>
      <c r="AR21" s="73"/>
      <c r="AS21" s="73"/>
      <c r="AT21" s="73"/>
      <c r="AU21" s="73"/>
      <c r="AV21" s="73" t="s">
        <v>13</v>
      </c>
      <c r="AW21" s="81">
        <v>498.48</v>
      </c>
      <c r="AY21" s="73"/>
      <c r="AZ21" s="73"/>
      <c r="BA21" s="73"/>
      <c r="BB21" s="73"/>
      <c r="BC21" s="73"/>
      <c r="BD21" s="73"/>
      <c r="BE21" s="73"/>
      <c r="BF21" s="73" t="s">
        <v>12</v>
      </c>
      <c r="BG21" s="89">
        <v>12540</v>
      </c>
      <c r="BJ21" s="73"/>
      <c r="BK21" s="73"/>
      <c r="BL21" s="73"/>
      <c r="BM21" s="73"/>
      <c r="BN21" s="73"/>
      <c r="BO21" s="73"/>
      <c r="BP21" s="73" t="s">
        <v>13</v>
      </c>
      <c r="BQ21" s="89">
        <v>5000</v>
      </c>
    </row>
    <row r="22" spans="1:69" ht="12" customHeight="1" x14ac:dyDescent="0.2">
      <c r="A22" s="73"/>
      <c r="B22" s="73"/>
      <c r="C22" s="73"/>
      <c r="D22" s="73"/>
      <c r="E22" s="73"/>
      <c r="F22" s="73"/>
      <c r="G22" s="73" t="s">
        <v>101</v>
      </c>
      <c r="H22" s="96">
        <v>1740.76</v>
      </c>
      <c r="I22" s="97">
        <v>478.45</v>
      </c>
      <c r="J22" s="97">
        <v>312.07</v>
      </c>
      <c r="K22" s="98">
        <f t="shared" si="10"/>
        <v>2531.2800000000002</v>
      </c>
      <c r="L22" s="125">
        <v>2600</v>
      </c>
      <c r="M22" s="100">
        <v>2700</v>
      </c>
      <c r="N22" s="101">
        <v>2600</v>
      </c>
      <c r="O22" s="102">
        <f t="shared" si="12"/>
        <v>68.7199999999998</v>
      </c>
      <c r="P22" s="103">
        <f t="shared" si="11"/>
        <v>-100</v>
      </c>
      <c r="R22" s="105"/>
      <c r="S22" s="89"/>
      <c r="U22" s="73"/>
      <c r="V22" s="73"/>
      <c r="W22" s="73"/>
      <c r="X22" s="73"/>
      <c r="Y22" s="73"/>
      <c r="Z22" s="73"/>
      <c r="AA22" s="73"/>
      <c r="AB22" s="73" t="s">
        <v>13</v>
      </c>
      <c r="AC22" s="89">
        <v>5353.07</v>
      </c>
      <c r="AE22" s="73"/>
      <c r="AF22" s="73"/>
      <c r="AG22" s="73"/>
      <c r="AH22" s="73"/>
      <c r="AI22" s="73"/>
      <c r="AJ22" s="73"/>
      <c r="AK22" s="73"/>
      <c r="AL22" s="73" t="s">
        <v>101</v>
      </c>
      <c r="AM22" s="81">
        <v>478.45</v>
      </c>
      <c r="AP22" s="73"/>
      <c r="AQ22" s="73"/>
      <c r="AR22" s="73"/>
      <c r="AS22" s="73"/>
      <c r="AT22" s="73"/>
      <c r="AU22" s="73"/>
      <c r="AV22" s="73" t="s">
        <v>101</v>
      </c>
      <c r="AW22" s="81">
        <v>312.07</v>
      </c>
      <c r="AY22" s="73"/>
      <c r="AZ22" s="73"/>
      <c r="BA22" s="73"/>
      <c r="BB22" s="73"/>
      <c r="BC22" s="73"/>
      <c r="BD22" s="73"/>
      <c r="BE22" s="73"/>
      <c r="BF22" s="73" t="s">
        <v>13</v>
      </c>
      <c r="BG22" s="89">
        <v>6050</v>
      </c>
      <c r="BJ22" s="73"/>
      <c r="BK22" s="73"/>
      <c r="BL22" s="73"/>
      <c r="BM22" s="73"/>
      <c r="BN22" s="73"/>
      <c r="BO22" s="73"/>
      <c r="BP22" s="73" t="s">
        <v>101</v>
      </c>
      <c r="BQ22" s="89">
        <v>2600</v>
      </c>
    </row>
    <row r="23" spans="1:69" ht="12" customHeight="1" x14ac:dyDescent="0.2">
      <c r="A23" s="73"/>
      <c r="B23" s="73"/>
      <c r="C23" s="73"/>
      <c r="D23" s="73"/>
      <c r="E23" s="73"/>
      <c r="F23" s="73"/>
      <c r="G23" s="73" t="s">
        <v>14</v>
      </c>
      <c r="H23" s="96">
        <v>657.21</v>
      </c>
      <c r="I23" s="97">
        <v>54.37</v>
      </c>
      <c r="J23" s="97">
        <v>65.069999999999993</v>
      </c>
      <c r="K23" s="98">
        <f t="shared" si="10"/>
        <v>776.65000000000009</v>
      </c>
      <c r="L23" s="125">
        <v>1000</v>
      </c>
      <c r="M23" s="100">
        <v>990</v>
      </c>
      <c r="N23" s="101">
        <v>800</v>
      </c>
      <c r="O23" s="102">
        <f t="shared" si="12"/>
        <v>23.349999999999909</v>
      </c>
      <c r="P23" s="103">
        <f t="shared" si="11"/>
        <v>-190</v>
      </c>
      <c r="R23" s="105"/>
      <c r="S23" s="89"/>
      <c r="U23" s="73"/>
      <c r="V23" s="73"/>
      <c r="W23" s="73"/>
      <c r="X23" s="73"/>
      <c r="Y23" s="73"/>
      <c r="Z23" s="73"/>
      <c r="AA23" s="73"/>
      <c r="AB23" s="73" t="s">
        <v>101</v>
      </c>
      <c r="AC23" s="89">
        <v>1740.76</v>
      </c>
      <c r="AE23" s="73"/>
      <c r="AF23" s="73"/>
      <c r="AG23" s="73"/>
      <c r="AH23" s="73"/>
      <c r="AI23" s="73"/>
      <c r="AJ23" s="73"/>
      <c r="AK23" s="73"/>
      <c r="AL23" s="73" t="s">
        <v>14</v>
      </c>
      <c r="AM23" s="81">
        <v>54.37</v>
      </c>
      <c r="AP23" s="73"/>
      <c r="AQ23" s="73"/>
      <c r="AR23" s="73"/>
      <c r="AS23" s="73"/>
      <c r="AT23" s="73"/>
      <c r="AU23" s="73"/>
      <c r="AV23" s="73" t="s">
        <v>14</v>
      </c>
      <c r="AW23" s="81">
        <v>65.069999999999993</v>
      </c>
      <c r="AY23" s="73"/>
      <c r="AZ23" s="73"/>
      <c r="BA23" s="73"/>
      <c r="BB23" s="73"/>
      <c r="BC23" s="73"/>
      <c r="BD23" s="73"/>
      <c r="BE23" s="73"/>
      <c r="BF23" s="73" t="s">
        <v>101</v>
      </c>
      <c r="BG23" s="89">
        <v>2700</v>
      </c>
      <c r="BJ23" s="73"/>
      <c r="BK23" s="73"/>
      <c r="BL23" s="73"/>
      <c r="BM23" s="73"/>
      <c r="BN23" s="73"/>
      <c r="BO23" s="73"/>
      <c r="BP23" s="73" t="s">
        <v>14</v>
      </c>
      <c r="BQ23" s="89">
        <v>1000</v>
      </c>
    </row>
    <row r="24" spans="1:69" ht="12" customHeight="1" x14ac:dyDescent="0.2">
      <c r="A24" s="73"/>
      <c r="B24" s="73"/>
      <c r="C24" s="73"/>
      <c r="D24" s="73"/>
      <c r="E24" s="73"/>
      <c r="F24" s="73"/>
      <c r="G24" s="73" t="s">
        <v>15</v>
      </c>
      <c r="H24" s="96">
        <v>968.2</v>
      </c>
      <c r="I24" s="126">
        <v>96.82</v>
      </c>
      <c r="J24" s="126">
        <v>96.82</v>
      </c>
      <c r="K24" s="98">
        <f t="shared" si="10"/>
        <v>1161.8399999999999</v>
      </c>
      <c r="L24" s="125">
        <v>2000</v>
      </c>
      <c r="M24" s="100">
        <v>1000</v>
      </c>
      <c r="N24" s="101">
        <v>1200</v>
      </c>
      <c r="O24" s="102">
        <f t="shared" si="12"/>
        <v>38.160000000000082</v>
      </c>
      <c r="P24" s="103">
        <f t="shared" si="11"/>
        <v>200</v>
      </c>
      <c r="R24" s="104" t="s">
        <v>168</v>
      </c>
      <c r="S24" s="89"/>
      <c r="U24" s="73"/>
      <c r="V24" s="73"/>
      <c r="W24" s="73"/>
      <c r="X24" s="73"/>
      <c r="Y24" s="73"/>
      <c r="Z24" s="73"/>
      <c r="AA24" s="73"/>
      <c r="AB24" s="73" t="s">
        <v>14</v>
      </c>
      <c r="AC24" s="89">
        <v>657.21</v>
      </c>
      <c r="AE24" s="73"/>
      <c r="AF24" s="73"/>
      <c r="AG24" s="73"/>
      <c r="AH24" s="73"/>
      <c r="AI24" s="73"/>
      <c r="AJ24" s="73"/>
      <c r="AK24" s="73"/>
      <c r="AL24" s="73" t="s">
        <v>15</v>
      </c>
      <c r="AM24" s="81">
        <v>74.48</v>
      </c>
      <c r="AP24" s="73"/>
      <c r="AQ24" s="73"/>
      <c r="AR24" s="73"/>
      <c r="AS24" s="73"/>
      <c r="AT24" s="73"/>
      <c r="AU24" s="73"/>
      <c r="AV24" s="73" t="s">
        <v>15</v>
      </c>
      <c r="AW24" s="81">
        <v>74.48</v>
      </c>
      <c r="AY24" s="73"/>
      <c r="AZ24" s="73"/>
      <c r="BA24" s="73"/>
      <c r="BB24" s="73"/>
      <c r="BC24" s="73"/>
      <c r="BD24" s="73"/>
      <c r="BE24" s="73"/>
      <c r="BF24" s="73" t="s">
        <v>14</v>
      </c>
      <c r="BG24" s="89">
        <v>990</v>
      </c>
      <c r="BJ24" s="73"/>
      <c r="BK24" s="73"/>
      <c r="BL24" s="73"/>
      <c r="BM24" s="73"/>
      <c r="BN24" s="73"/>
      <c r="BO24" s="73"/>
      <c r="BP24" s="73" t="s">
        <v>15</v>
      </c>
      <c r="BQ24" s="89">
        <v>2000</v>
      </c>
    </row>
    <row r="25" spans="1:69" ht="12" customHeight="1" x14ac:dyDescent="0.2">
      <c r="A25" s="73"/>
      <c r="B25" s="73"/>
      <c r="C25" s="73"/>
      <c r="D25" s="73"/>
      <c r="E25" s="73"/>
      <c r="F25" s="73"/>
      <c r="G25" s="73" t="s">
        <v>16</v>
      </c>
      <c r="H25" s="96">
        <v>791.55</v>
      </c>
      <c r="I25" s="97">
        <v>110.11</v>
      </c>
      <c r="J25" s="97">
        <v>84.08</v>
      </c>
      <c r="K25" s="98">
        <f t="shared" si="10"/>
        <v>985.74</v>
      </c>
      <c r="L25" s="125">
        <v>1000</v>
      </c>
      <c r="M25" s="100">
        <v>1100</v>
      </c>
      <c r="N25" s="101">
        <v>1000</v>
      </c>
      <c r="O25" s="102">
        <f t="shared" si="12"/>
        <v>14.259999999999991</v>
      </c>
      <c r="P25" s="103">
        <f t="shared" si="11"/>
        <v>-100</v>
      </c>
      <c r="R25" s="105"/>
      <c r="S25" s="89"/>
      <c r="U25" s="73"/>
      <c r="V25" s="73"/>
      <c r="W25" s="73"/>
      <c r="X25" s="73"/>
      <c r="Y25" s="73"/>
      <c r="Z25" s="73"/>
      <c r="AA25" s="73"/>
      <c r="AB25" s="73" t="s">
        <v>15</v>
      </c>
      <c r="AC25" s="89">
        <v>968.2</v>
      </c>
      <c r="AE25" s="73"/>
      <c r="AF25" s="73"/>
      <c r="AG25" s="73"/>
      <c r="AH25" s="73"/>
      <c r="AI25" s="73"/>
      <c r="AJ25" s="73"/>
      <c r="AK25" s="73"/>
      <c r="AL25" s="73" t="s">
        <v>16</v>
      </c>
      <c r="AM25" s="81">
        <v>110.11</v>
      </c>
      <c r="AP25" s="73"/>
      <c r="AQ25" s="73"/>
      <c r="AR25" s="73"/>
      <c r="AS25" s="73"/>
      <c r="AT25" s="73"/>
      <c r="AU25" s="73"/>
      <c r="AV25" s="73" t="s">
        <v>16</v>
      </c>
      <c r="AW25" s="81">
        <v>84.08</v>
      </c>
      <c r="AY25" s="73"/>
      <c r="AZ25" s="73"/>
      <c r="BA25" s="73"/>
      <c r="BB25" s="73"/>
      <c r="BC25" s="73"/>
      <c r="BD25" s="73"/>
      <c r="BE25" s="73"/>
      <c r="BF25" s="73" t="s">
        <v>15</v>
      </c>
      <c r="BG25" s="89">
        <v>1000</v>
      </c>
      <c r="BJ25" s="73"/>
      <c r="BK25" s="73"/>
      <c r="BL25" s="73"/>
      <c r="BM25" s="73"/>
      <c r="BN25" s="73"/>
      <c r="BO25" s="73"/>
      <c r="BP25" s="73" t="s">
        <v>16</v>
      </c>
      <c r="BQ25" s="89">
        <v>1000</v>
      </c>
    </row>
    <row r="26" spans="1:69" ht="12" customHeight="1" x14ac:dyDescent="0.2">
      <c r="A26" s="73"/>
      <c r="B26" s="73"/>
      <c r="C26" s="73"/>
      <c r="D26" s="73"/>
      <c r="E26" s="73"/>
      <c r="F26" s="73"/>
      <c r="G26" s="73" t="s">
        <v>17</v>
      </c>
      <c r="H26" s="96">
        <v>269.64</v>
      </c>
      <c r="I26" s="97">
        <v>0</v>
      </c>
      <c r="J26" s="97">
        <v>0</v>
      </c>
      <c r="K26" s="98">
        <f t="shared" si="10"/>
        <v>269.64</v>
      </c>
      <c r="L26" s="125">
        <v>750</v>
      </c>
      <c r="M26" s="100">
        <v>800</v>
      </c>
      <c r="N26" s="101">
        <v>400</v>
      </c>
      <c r="O26" s="102">
        <f t="shared" si="12"/>
        <v>130.36000000000001</v>
      </c>
      <c r="P26" s="103">
        <f t="shared" si="11"/>
        <v>-400</v>
      </c>
      <c r="R26" s="105"/>
      <c r="S26" s="89"/>
      <c r="U26" s="73"/>
      <c r="V26" s="73"/>
      <c r="W26" s="73"/>
      <c r="X26" s="73"/>
      <c r="Y26" s="73"/>
      <c r="Z26" s="73"/>
      <c r="AA26" s="73"/>
      <c r="AB26" s="73" t="s">
        <v>16</v>
      </c>
      <c r="AC26" s="89">
        <v>791.55</v>
      </c>
      <c r="AE26" s="73"/>
      <c r="AF26" s="73"/>
      <c r="AG26" s="73"/>
      <c r="AH26" s="73"/>
      <c r="AI26" s="73"/>
      <c r="AJ26" s="73"/>
      <c r="AK26" s="73"/>
      <c r="AL26" s="73" t="s">
        <v>17</v>
      </c>
      <c r="AM26" s="81">
        <v>0</v>
      </c>
      <c r="AP26" s="73"/>
      <c r="AQ26" s="73"/>
      <c r="AR26" s="73"/>
      <c r="AS26" s="73"/>
      <c r="AT26" s="73"/>
      <c r="AU26" s="73"/>
      <c r="AV26" s="73" t="s">
        <v>17</v>
      </c>
      <c r="AW26" s="81">
        <v>0</v>
      </c>
      <c r="AY26" s="73"/>
      <c r="AZ26" s="73"/>
      <c r="BA26" s="73"/>
      <c r="BB26" s="73"/>
      <c r="BC26" s="73"/>
      <c r="BD26" s="73"/>
      <c r="BE26" s="73"/>
      <c r="BF26" s="73" t="s">
        <v>16</v>
      </c>
      <c r="BG26" s="89">
        <v>1100</v>
      </c>
      <c r="BJ26" s="73"/>
      <c r="BK26" s="73"/>
      <c r="BL26" s="73"/>
      <c r="BM26" s="73"/>
      <c r="BN26" s="73"/>
      <c r="BO26" s="73"/>
      <c r="BP26" s="73" t="s">
        <v>17</v>
      </c>
      <c r="BQ26" s="89">
        <v>750</v>
      </c>
    </row>
    <row r="27" spans="1:69" ht="12" customHeight="1" x14ac:dyDescent="0.2">
      <c r="A27" s="73"/>
      <c r="B27" s="73"/>
      <c r="C27" s="73"/>
      <c r="D27" s="73"/>
      <c r="E27" s="73"/>
      <c r="F27" s="73"/>
      <c r="G27" s="73" t="s">
        <v>18</v>
      </c>
      <c r="H27" s="96">
        <v>6763.73</v>
      </c>
      <c r="I27" s="97">
        <v>516.91</v>
      </c>
      <c r="J27" s="97">
        <v>208.72</v>
      </c>
      <c r="K27" s="98">
        <f t="shared" si="10"/>
        <v>7489.36</v>
      </c>
      <c r="L27" s="125">
        <v>15000</v>
      </c>
      <c r="M27" s="100">
        <v>14000</v>
      </c>
      <c r="N27" s="101">
        <v>8000</v>
      </c>
      <c r="O27" s="102">
        <f t="shared" si="12"/>
        <v>510.64000000000033</v>
      </c>
      <c r="P27" s="103">
        <f t="shared" si="11"/>
        <v>-6000</v>
      </c>
      <c r="R27" s="105"/>
      <c r="S27" s="89"/>
      <c r="U27" s="73"/>
      <c r="V27" s="73"/>
      <c r="W27" s="73"/>
      <c r="X27" s="73"/>
      <c r="Y27" s="73"/>
      <c r="Z27" s="73"/>
      <c r="AA27" s="73"/>
      <c r="AB27" s="73" t="s">
        <v>17</v>
      </c>
      <c r="AC27" s="89">
        <v>269.64</v>
      </c>
      <c r="AE27" s="73"/>
      <c r="AF27" s="73"/>
      <c r="AG27" s="73"/>
      <c r="AH27" s="73"/>
      <c r="AI27" s="73"/>
      <c r="AJ27" s="73"/>
      <c r="AK27" s="73"/>
      <c r="AL27" s="73" t="s">
        <v>18</v>
      </c>
      <c r="AM27" s="81">
        <v>516.91</v>
      </c>
      <c r="AP27" s="73"/>
      <c r="AQ27" s="73"/>
      <c r="AR27" s="73"/>
      <c r="AS27" s="73"/>
      <c r="AT27" s="73"/>
      <c r="AU27" s="73"/>
      <c r="AV27" s="73" t="s">
        <v>18</v>
      </c>
      <c r="AW27" s="81">
        <v>208.72</v>
      </c>
      <c r="AY27" s="73"/>
      <c r="AZ27" s="73"/>
      <c r="BA27" s="73"/>
      <c r="BB27" s="73"/>
      <c r="BC27" s="73"/>
      <c r="BD27" s="73"/>
      <c r="BE27" s="73"/>
      <c r="BF27" s="73" t="s">
        <v>17</v>
      </c>
      <c r="BG27" s="89">
        <v>800</v>
      </c>
      <c r="BJ27" s="73"/>
      <c r="BK27" s="73"/>
      <c r="BL27" s="73"/>
      <c r="BM27" s="73"/>
      <c r="BN27" s="73"/>
      <c r="BO27" s="73"/>
      <c r="BP27" s="73" t="s">
        <v>18</v>
      </c>
      <c r="BQ27" s="89">
        <v>15000</v>
      </c>
    </row>
    <row r="28" spans="1:69" ht="12" customHeight="1" x14ac:dyDescent="0.2">
      <c r="A28" s="73"/>
      <c r="B28" s="73"/>
      <c r="C28" s="73"/>
      <c r="D28" s="73"/>
      <c r="E28" s="73"/>
      <c r="F28" s="73"/>
      <c r="G28" s="73" t="s">
        <v>19</v>
      </c>
      <c r="H28" s="96">
        <v>127.22</v>
      </c>
      <c r="I28" s="97">
        <v>0</v>
      </c>
      <c r="J28" s="97">
        <v>267.73</v>
      </c>
      <c r="K28" s="98">
        <f t="shared" si="10"/>
        <v>394.95000000000005</v>
      </c>
      <c r="L28" s="125">
        <v>1500</v>
      </c>
      <c r="M28" s="100">
        <v>1000</v>
      </c>
      <c r="N28" s="101">
        <v>1500</v>
      </c>
      <c r="O28" s="102">
        <f t="shared" si="12"/>
        <v>1105.05</v>
      </c>
      <c r="P28" s="103">
        <f t="shared" si="11"/>
        <v>500</v>
      </c>
      <c r="R28" s="105"/>
      <c r="S28" s="89"/>
      <c r="U28" s="73"/>
      <c r="V28" s="73"/>
      <c r="W28" s="73"/>
      <c r="X28" s="73"/>
      <c r="Y28" s="73"/>
      <c r="Z28" s="73"/>
      <c r="AA28" s="73"/>
      <c r="AB28" s="73" t="s">
        <v>18</v>
      </c>
      <c r="AC28" s="89">
        <v>6763.73</v>
      </c>
      <c r="AE28" s="73"/>
      <c r="AF28" s="73"/>
      <c r="AG28" s="73"/>
      <c r="AH28" s="73"/>
      <c r="AI28" s="73"/>
      <c r="AJ28" s="73"/>
      <c r="AK28" s="73"/>
      <c r="AL28" s="73" t="s">
        <v>19</v>
      </c>
      <c r="AM28" s="81">
        <v>0</v>
      </c>
      <c r="AP28" s="73"/>
      <c r="AQ28" s="73"/>
      <c r="AR28" s="73"/>
      <c r="AS28" s="73"/>
      <c r="AT28" s="73"/>
      <c r="AU28" s="73"/>
      <c r="AV28" s="73" t="s">
        <v>19</v>
      </c>
      <c r="AW28" s="81">
        <v>267.73</v>
      </c>
      <c r="AY28" s="73"/>
      <c r="AZ28" s="73"/>
      <c r="BA28" s="73"/>
      <c r="BB28" s="73"/>
      <c r="BC28" s="73"/>
      <c r="BD28" s="73"/>
      <c r="BE28" s="73"/>
      <c r="BF28" s="73" t="s">
        <v>18</v>
      </c>
      <c r="BG28" s="89">
        <v>14000</v>
      </c>
      <c r="BJ28" s="73"/>
      <c r="BK28" s="73"/>
      <c r="BL28" s="73"/>
      <c r="BM28" s="73"/>
      <c r="BN28" s="73"/>
      <c r="BO28" s="73"/>
      <c r="BP28" s="73" t="s">
        <v>19</v>
      </c>
      <c r="BQ28" s="89">
        <v>1500</v>
      </c>
    </row>
    <row r="29" spans="1:69" ht="12" customHeight="1" x14ac:dyDescent="0.2">
      <c r="A29" s="73"/>
      <c r="B29" s="73"/>
      <c r="C29" s="73"/>
      <c r="D29" s="73"/>
      <c r="E29" s="73"/>
      <c r="F29" s="73"/>
      <c r="G29" s="73" t="s">
        <v>20</v>
      </c>
      <c r="H29" s="96">
        <v>10460.25</v>
      </c>
      <c r="I29" s="97">
        <v>2945.25</v>
      </c>
      <c r="J29" s="97">
        <v>0</v>
      </c>
      <c r="K29" s="98">
        <f t="shared" si="10"/>
        <v>13405.5</v>
      </c>
      <c r="L29" s="125">
        <v>13750</v>
      </c>
      <c r="M29" s="100">
        <v>13200</v>
      </c>
      <c r="N29" s="101">
        <v>13500</v>
      </c>
      <c r="O29" s="102">
        <f t="shared" si="12"/>
        <v>94.5</v>
      </c>
      <c r="P29" s="103">
        <f t="shared" si="11"/>
        <v>300</v>
      </c>
      <c r="R29" s="105"/>
      <c r="S29" s="89"/>
      <c r="U29" s="73"/>
      <c r="V29" s="73"/>
      <c r="W29" s="73"/>
      <c r="X29" s="73"/>
      <c r="Y29" s="73"/>
      <c r="Z29" s="73"/>
      <c r="AA29" s="73"/>
      <c r="AB29" s="73" t="s">
        <v>19</v>
      </c>
      <c r="AC29" s="89">
        <v>127.22</v>
      </c>
      <c r="AE29" s="73"/>
      <c r="AF29" s="73"/>
      <c r="AG29" s="73"/>
      <c r="AH29" s="73"/>
      <c r="AI29" s="73"/>
      <c r="AJ29" s="73"/>
      <c r="AK29" s="73"/>
      <c r="AL29" s="73" t="s">
        <v>20</v>
      </c>
      <c r="AM29" s="81">
        <v>2945.25</v>
      </c>
      <c r="AP29" s="73"/>
      <c r="AQ29" s="73"/>
      <c r="AR29" s="73"/>
      <c r="AS29" s="73"/>
      <c r="AT29" s="73"/>
      <c r="AU29" s="73"/>
      <c r="AV29" s="73" t="s">
        <v>20</v>
      </c>
      <c r="AW29" s="81">
        <v>0</v>
      </c>
      <c r="AY29" s="73"/>
      <c r="AZ29" s="73"/>
      <c r="BA29" s="73"/>
      <c r="BB29" s="73"/>
      <c r="BC29" s="73"/>
      <c r="BD29" s="73"/>
      <c r="BE29" s="73"/>
      <c r="BF29" s="73" t="s">
        <v>19</v>
      </c>
      <c r="BG29" s="89">
        <v>1000</v>
      </c>
      <c r="BJ29" s="73"/>
      <c r="BK29" s="73"/>
      <c r="BL29" s="73"/>
      <c r="BM29" s="73"/>
      <c r="BN29" s="73"/>
      <c r="BO29" s="73"/>
      <c r="BP29" s="73" t="s">
        <v>20</v>
      </c>
      <c r="BQ29" s="89">
        <v>13750</v>
      </c>
    </row>
    <row r="30" spans="1:69" ht="12" customHeight="1" x14ac:dyDescent="0.2">
      <c r="A30" s="73"/>
      <c r="B30" s="73"/>
      <c r="C30" s="73"/>
      <c r="D30" s="73"/>
      <c r="E30" s="73"/>
      <c r="F30" s="73"/>
      <c r="G30" s="73" t="s">
        <v>100</v>
      </c>
      <c r="H30" s="96">
        <v>1274.68</v>
      </c>
      <c r="I30" s="97">
        <v>126.07</v>
      </c>
      <c r="J30" s="97">
        <v>126.07</v>
      </c>
      <c r="K30" s="98">
        <f t="shared" si="10"/>
        <v>1526.82</v>
      </c>
      <c r="L30" s="125">
        <v>1600</v>
      </c>
      <c r="M30" s="100">
        <v>1705</v>
      </c>
      <c r="N30" s="101">
        <v>1600</v>
      </c>
      <c r="O30" s="102">
        <f t="shared" si="12"/>
        <v>73.180000000000064</v>
      </c>
      <c r="P30" s="103">
        <f>N30-M30</f>
        <v>-105</v>
      </c>
      <c r="R30" s="105"/>
      <c r="S30" s="89"/>
      <c r="U30" s="73"/>
      <c r="V30" s="73"/>
      <c r="W30" s="73"/>
      <c r="X30" s="73"/>
      <c r="Y30" s="73"/>
      <c r="Z30" s="73"/>
      <c r="AA30" s="73"/>
      <c r="AB30" s="73" t="s">
        <v>20</v>
      </c>
      <c r="AC30" s="89">
        <v>10460.25</v>
      </c>
      <c r="AE30" s="73"/>
      <c r="AF30" s="73"/>
      <c r="AG30" s="73"/>
      <c r="AH30" s="73"/>
      <c r="AI30" s="73"/>
      <c r="AJ30" s="73"/>
      <c r="AK30" s="73"/>
      <c r="AL30" s="73" t="s">
        <v>100</v>
      </c>
      <c r="AM30" s="81">
        <v>126.07</v>
      </c>
      <c r="AP30" s="73"/>
      <c r="AQ30" s="73"/>
      <c r="AR30" s="73"/>
      <c r="AS30" s="73"/>
      <c r="AT30" s="73"/>
      <c r="AU30" s="73"/>
      <c r="AV30" s="73" t="s">
        <v>100</v>
      </c>
      <c r="AW30" s="81">
        <v>126.07</v>
      </c>
      <c r="AY30" s="73"/>
      <c r="AZ30" s="73"/>
      <c r="BA30" s="73"/>
      <c r="BB30" s="73"/>
      <c r="BC30" s="73"/>
      <c r="BD30" s="73"/>
      <c r="BE30" s="73"/>
      <c r="BF30" s="73" t="s">
        <v>20</v>
      </c>
      <c r="BG30" s="89">
        <v>13200</v>
      </c>
      <c r="BJ30" s="73"/>
      <c r="BK30" s="73"/>
      <c r="BL30" s="73"/>
      <c r="BM30" s="73"/>
      <c r="BN30" s="73"/>
      <c r="BO30" s="73"/>
      <c r="BP30" s="73" t="s">
        <v>100</v>
      </c>
      <c r="BQ30" s="89">
        <v>1600</v>
      </c>
    </row>
    <row r="31" spans="1:69" ht="12" customHeight="1" x14ac:dyDescent="0.2">
      <c r="A31" s="73"/>
      <c r="B31" s="73"/>
      <c r="C31" s="73"/>
      <c r="D31" s="73"/>
      <c r="E31" s="73"/>
      <c r="F31" s="73"/>
      <c r="G31" s="73" t="s">
        <v>21</v>
      </c>
      <c r="H31" s="96">
        <v>1879.62</v>
      </c>
      <c r="I31" s="97">
        <v>0</v>
      </c>
      <c r="J31" s="97">
        <v>9.1999999999999993</v>
      </c>
      <c r="K31" s="98">
        <f t="shared" si="10"/>
        <v>1888.82</v>
      </c>
      <c r="L31" s="125">
        <v>3000</v>
      </c>
      <c r="M31" s="100">
        <v>2000</v>
      </c>
      <c r="N31" s="101">
        <v>2500</v>
      </c>
      <c r="O31" s="102">
        <f t="shared" si="12"/>
        <v>611.18000000000006</v>
      </c>
      <c r="P31" s="103">
        <f t="shared" si="11"/>
        <v>500</v>
      </c>
      <c r="R31" s="105"/>
      <c r="S31" s="89"/>
      <c r="U31" s="73"/>
      <c r="V31" s="73"/>
      <c r="W31" s="73"/>
      <c r="X31" s="73"/>
      <c r="Y31" s="73"/>
      <c r="Z31" s="73"/>
      <c r="AA31" s="73"/>
      <c r="AB31" s="73" t="s">
        <v>100</v>
      </c>
      <c r="AC31" s="89">
        <v>1274.68</v>
      </c>
      <c r="AE31" s="73"/>
      <c r="AF31" s="73"/>
      <c r="AG31" s="73"/>
      <c r="AH31" s="73"/>
      <c r="AI31" s="73"/>
      <c r="AJ31" s="73"/>
      <c r="AK31" s="73"/>
      <c r="AL31" s="73" t="s">
        <v>21</v>
      </c>
      <c r="AM31" s="81">
        <v>0</v>
      </c>
      <c r="AP31" s="73"/>
      <c r="AQ31" s="73"/>
      <c r="AR31" s="73"/>
      <c r="AS31" s="73"/>
      <c r="AT31" s="73"/>
      <c r="AU31" s="73"/>
      <c r="AV31" s="73" t="s">
        <v>21</v>
      </c>
      <c r="AW31" s="81">
        <v>9.1999999999999993</v>
      </c>
      <c r="AY31" s="73"/>
      <c r="AZ31" s="73"/>
      <c r="BA31" s="73"/>
      <c r="BB31" s="73"/>
      <c r="BC31" s="73"/>
      <c r="BD31" s="73"/>
      <c r="BE31" s="73"/>
      <c r="BF31" s="73" t="s">
        <v>100</v>
      </c>
      <c r="BG31" s="89">
        <v>1705</v>
      </c>
      <c r="BJ31" s="73"/>
      <c r="BK31" s="73"/>
      <c r="BL31" s="73"/>
      <c r="BM31" s="73"/>
      <c r="BN31" s="73"/>
      <c r="BO31" s="73"/>
      <c r="BP31" s="73" t="s">
        <v>21</v>
      </c>
      <c r="BQ31" s="89">
        <v>3000</v>
      </c>
    </row>
    <row r="32" spans="1:69" ht="12" customHeight="1" x14ac:dyDescent="0.2">
      <c r="A32" s="73"/>
      <c r="B32" s="73"/>
      <c r="C32" s="73"/>
      <c r="D32" s="73"/>
      <c r="E32" s="73"/>
      <c r="F32" s="73"/>
      <c r="G32" s="73" t="s">
        <v>22</v>
      </c>
      <c r="H32" s="96">
        <v>0</v>
      </c>
      <c r="I32" s="97">
        <v>8048.89</v>
      </c>
      <c r="J32" s="97">
        <v>0</v>
      </c>
      <c r="K32" s="98">
        <f t="shared" si="10"/>
        <v>8048.89</v>
      </c>
      <c r="L32" s="125">
        <v>9000</v>
      </c>
      <c r="M32" s="100">
        <v>8250</v>
      </c>
      <c r="N32" s="101">
        <v>8250</v>
      </c>
      <c r="O32" s="102">
        <f t="shared" si="12"/>
        <v>201.10999999999967</v>
      </c>
      <c r="P32" s="103">
        <f t="shared" si="11"/>
        <v>0</v>
      </c>
      <c r="R32" s="105"/>
      <c r="S32" s="89"/>
      <c r="U32" s="73"/>
      <c r="V32" s="73"/>
      <c r="W32" s="73"/>
      <c r="X32" s="73"/>
      <c r="Y32" s="73"/>
      <c r="Z32" s="73"/>
      <c r="AA32" s="73"/>
      <c r="AB32" s="73" t="s">
        <v>21</v>
      </c>
      <c r="AC32" s="89">
        <v>1879.62</v>
      </c>
      <c r="AE32" s="73"/>
      <c r="AF32" s="73"/>
      <c r="AG32" s="73"/>
      <c r="AH32" s="73"/>
      <c r="AI32" s="73"/>
      <c r="AJ32" s="73"/>
      <c r="AK32" s="73"/>
      <c r="AL32" s="73" t="s">
        <v>22</v>
      </c>
      <c r="AM32" s="81">
        <v>8048.89</v>
      </c>
      <c r="AP32" s="73"/>
      <c r="AQ32" s="73"/>
      <c r="AR32" s="73"/>
      <c r="AS32" s="73"/>
      <c r="AT32" s="73"/>
      <c r="AU32" s="73"/>
      <c r="AV32" s="73" t="s">
        <v>22</v>
      </c>
      <c r="AW32" s="81">
        <v>0</v>
      </c>
      <c r="AY32" s="73"/>
      <c r="AZ32" s="73"/>
      <c r="BA32" s="73"/>
      <c r="BB32" s="73"/>
      <c r="BC32" s="73"/>
      <c r="BD32" s="73"/>
      <c r="BE32" s="73"/>
      <c r="BF32" s="73" t="s">
        <v>21</v>
      </c>
      <c r="BG32" s="89">
        <v>2000</v>
      </c>
      <c r="BJ32" s="73"/>
      <c r="BK32" s="73"/>
      <c r="BL32" s="73"/>
      <c r="BM32" s="73"/>
      <c r="BN32" s="73"/>
      <c r="BO32" s="73"/>
      <c r="BP32" s="73" t="s">
        <v>22</v>
      </c>
      <c r="BQ32" s="89">
        <v>9000</v>
      </c>
    </row>
    <row r="33" spans="1:69" ht="12" customHeight="1" x14ac:dyDescent="0.2">
      <c r="A33" s="73"/>
      <c r="B33" s="73"/>
      <c r="C33" s="73"/>
      <c r="D33" s="73"/>
      <c r="E33" s="73"/>
      <c r="F33" s="73"/>
      <c r="G33" s="73" t="s">
        <v>23</v>
      </c>
      <c r="H33" s="96">
        <v>4747.5</v>
      </c>
      <c r="I33" s="97">
        <v>135.44999999999999</v>
      </c>
      <c r="J33" s="97">
        <v>0</v>
      </c>
      <c r="K33" s="98">
        <f t="shared" si="10"/>
        <v>4882.95</v>
      </c>
      <c r="L33" s="125">
        <v>4500</v>
      </c>
      <c r="M33" s="100">
        <v>4800</v>
      </c>
      <c r="N33" s="101">
        <v>5000</v>
      </c>
      <c r="O33" s="102">
        <f t="shared" si="12"/>
        <v>117.05000000000018</v>
      </c>
      <c r="P33" s="103">
        <f t="shared" si="11"/>
        <v>200</v>
      </c>
      <c r="R33" s="105"/>
      <c r="S33" s="89"/>
      <c r="U33" s="73"/>
      <c r="V33" s="73"/>
      <c r="W33" s="73"/>
      <c r="X33" s="73"/>
      <c r="Y33" s="73"/>
      <c r="Z33" s="73"/>
      <c r="AA33" s="73"/>
      <c r="AB33" s="73" t="s">
        <v>22</v>
      </c>
      <c r="AC33" s="89">
        <v>0</v>
      </c>
      <c r="AE33" s="73"/>
      <c r="AF33" s="73"/>
      <c r="AG33" s="73"/>
      <c r="AH33" s="73"/>
      <c r="AI33" s="73"/>
      <c r="AJ33" s="73"/>
      <c r="AK33" s="73"/>
      <c r="AL33" s="73" t="s">
        <v>23</v>
      </c>
      <c r="AM33" s="81">
        <v>135.44999999999999</v>
      </c>
      <c r="AP33" s="73"/>
      <c r="AQ33" s="73"/>
      <c r="AR33" s="73"/>
      <c r="AS33" s="73"/>
      <c r="AT33" s="73"/>
      <c r="AU33" s="73"/>
      <c r="AV33" s="73" t="s">
        <v>23</v>
      </c>
      <c r="AW33" s="81">
        <v>0</v>
      </c>
      <c r="AY33" s="73"/>
      <c r="AZ33" s="73"/>
      <c r="BA33" s="73"/>
      <c r="BB33" s="73"/>
      <c r="BC33" s="73"/>
      <c r="BD33" s="73"/>
      <c r="BE33" s="73"/>
      <c r="BF33" s="73" t="s">
        <v>22</v>
      </c>
      <c r="BG33" s="89">
        <v>8250</v>
      </c>
      <c r="BJ33" s="73"/>
      <c r="BK33" s="73"/>
      <c r="BL33" s="73"/>
      <c r="BM33" s="73"/>
      <c r="BN33" s="73"/>
      <c r="BO33" s="73"/>
      <c r="BP33" s="73" t="s">
        <v>23</v>
      </c>
      <c r="BQ33" s="89">
        <v>4500</v>
      </c>
    </row>
    <row r="34" spans="1:69" ht="12" customHeight="1" x14ac:dyDescent="0.2">
      <c r="A34" s="73"/>
      <c r="B34" s="73"/>
      <c r="C34" s="73"/>
      <c r="D34" s="73"/>
      <c r="E34" s="73"/>
      <c r="F34" s="73"/>
      <c r="G34" s="73" t="s">
        <v>24</v>
      </c>
      <c r="H34" s="96">
        <v>0</v>
      </c>
      <c r="I34" s="97">
        <v>62.4</v>
      </c>
      <c r="J34" s="97">
        <v>600</v>
      </c>
      <c r="K34" s="98">
        <f t="shared" si="10"/>
        <v>662.4</v>
      </c>
      <c r="L34" s="125">
        <v>1500</v>
      </c>
      <c r="M34" s="100">
        <v>1400</v>
      </c>
      <c r="N34" s="101">
        <v>1200</v>
      </c>
      <c r="O34" s="102">
        <f t="shared" si="12"/>
        <v>537.6</v>
      </c>
      <c r="P34" s="103">
        <f t="shared" si="11"/>
        <v>-200</v>
      </c>
      <c r="R34" s="105"/>
      <c r="S34" s="89"/>
      <c r="U34" s="73"/>
      <c r="V34" s="73"/>
      <c r="W34" s="73"/>
      <c r="X34" s="73"/>
      <c r="Y34" s="73"/>
      <c r="Z34" s="73"/>
      <c r="AA34" s="73"/>
      <c r="AB34" s="73" t="s">
        <v>23</v>
      </c>
      <c r="AC34" s="89">
        <v>4747.5</v>
      </c>
      <c r="AE34" s="73"/>
      <c r="AF34" s="73"/>
      <c r="AG34" s="73"/>
      <c r="AH34" s="73"/>
      <c r="AI34" s="73"/>
      <c r="AJ34" s="73"/>
      <c r="AK34" s="73"/>
      <c r="AL34" s="73" t="s">
        <v>24</v>
      </c>
      <c r="AM34" s="81">
        <v>62.4</v>
      </c>
      <c r="AP34" s="73"/>
      <c r="AQ34" s="73"/>
      <c r="AR34" s="73"/>
      <c r="AS34" s="73"/>
      <c r="AT34" s="73"/>
      <c r="AU34" s="73"/>
      <c r="AV34" s="73" t="s">
        <v>24</v>
      </c>
      <c r="AW34" s="81">
        <v>600</v>
      </c>
      <c r="AY34" s="73"/>
      <c r="AZ34" s="73"/>
      <c r="BA34" s="73"/>
      <c r="BB34" s="73"/>
      <c r="BC34" s="73"/>
      <c r="BD34" s="73"/>
      <c r="BE34" s="73"/>
      <c r="BF34" s="73" t="s">
        <v>23</v>
      </c>
      <c r="BG34" s="89">
        <v>4800</v>
      </c>
      <c r="BJ34" s="73"/>
      <c r="BK34" s="73"/>
      <c r="BL34" s="73"/>
      <c r="BM34" s="73"/>
      <c r="BN34" s="73"/>
      <c r="BO34" s="73"/>
      <c r="BP34" s="73" t="s">
        <v>24</v>
      </c>
      <c r="BQ34" s="89">
        <v>1500</v>
      </c>
    </row>
    <row r="35" spans="1:69" ht="12" customHeight="1" thickBot="1" x14ac:dyDescent="0.25">
      <c r="A35" s="73"/>
      <c r="B35" s="106"/>
      <c r="C35" s="106"/>
      <c r="D35" s="106"/>
      <c r="E35" s="106"/>
      <c r="F35" s="106"/>
      <c r="G35" s="107" t="s">
        <v>97</v>
      </c>
      <c r="H35" s="127">
        <v>890.68</v>
      </c>
      <c r="I35" s="128">
        <v>68.61</v>
      </c>
      <c r="J35" s="128">
        <v>275.24</v>
      </c>
      <c r="K35" s="129">
        <f t="shared" si="10"/>
        <v>1234.53</v>
      </c>
      <c r="L35" s="130">
        <v>1000</v>
      </c>
      <c r="M35" s="131">
        <v>1200</v>
      </c>
      <c r="N35" s="132">
        <v>1250</v>
      </c>
      <c r="O35" s="133">
        <f t="shared" si="12"/>
        <v>15.470000000000027</v>
      </c>
      <c r="P35" s="134">
        <f t="shared" si="11"/>
        <v>50</v>
      </c>
      <c r="R35" s="105"/>
      <c r="S35" s="89"/>
      <c r="U35" s="73"/>
      <c r="V35" s="73"/>
      <c r="W35" s="73"/>
      <c r="X35" s="73"/>
      <c r="Y35" s="73"/>
      <c r="Z35" s="73"/>
      <c r="AA35" s="73"/>
      <c r="AB35" s="73" t="s">
        <v>24</v>
      </c>
      <c r="AC35" s="89">
        <v>0</v>
      </c>
      <c r="AE35" s="73"/>
      <c r="AF35" s="73"/>
      <c r="AG35" s="73"/>
      <c r="AH35" s="73"/>
      <c r="AI35" s="73"/>
      <c r="AJ35" s="73"/>
      <c r="AK35" s="73"/>
      <c r="AL35" s="73" t="s">
        <v>97</v>
      </c>
      <c r="AM35" s="135">
        <v>68.61</v>
      </c>
      <c r="AP35" s="73"/>
      <c r="AQ35" s="73"/>
      <c r="AR35" s="73"/>
      <c r="AS35" s="73"/>
      <c r="AT35" s="73"/>
      <c r="AU35" s="73"/>
      <c r="AV35" s="73" t="s">
        <v>97</v>
      </c>
      <c r="AW35" s="135">
        <v>275.24</v>
      </c>
      <c r="AY35" s="73"/>
      <c r="AZ35" s="73"/>
      <c r="BA35" s="73"/>
      <c r="BB35" s="73"/>
      <c r="BC35" s="73"/>
      <c r="BD35" s="73"/>
      <c r="BE35" s="73"/>
      <c r="BF35" s="73" t="s">
        <v>24</v>
      </c>
      <c r="BG35" s="89">
        <v>1400</v>
      </c>
      <c r="BJ35" s="73"/>
      <c r="BK35" s="73"/>
      <c r="BL35" s="73"/>
      <c r="BM35" s="73"/>
      <c r="BN35" s="73"/>
      <c r="BO35" s="73"/>
      <c r="BP35" s="73" t="s">
        <v>97</v>
      </c>
      <c r="BQ35" s="136">
        <v>1000</v>
      </c>
    </row>
    <row r="36" spans="1:69" ht="12" customHeight="1" thickBot="1" x14ac:dyDescent="0.25">
      <c r="A36" s="73"/>
      <c r="B36" s="137"/>
      <c r="C36" s="137"/>
      <c r="D36" s="137"/>
      <c r="E36" s="137"/>
      <c r="F36" s="137" t="s">
        <v>25</v>
      </c>
      <c r="G36" s="137"/>
      <c r="H36" s="138">
        <f>ROUND(SUM(H19:H35),5)</f>
        <v>46106.720000000001</v>
      </c>
      <c r="I36" s="139">
        <f t="shared" ref="I36:M36" si="13">ROUND(SUM(I19:I35),5)</f>
        <v>13444.34</v>
      </c>
      <c r="J36" s="139">
        <f t="shared" si="13"/>
        <v>3266.31</v>
      </c>
      <c r="K36" s="139">
        <f t="shared" si="13"/>
        <v>62817.37</v>
      </c>
      <c r="L36" s="138">
        <f t="shared" si="13"/>
        <v>75200</v>
      </c>
      <c r="M36" s="139">
        <f t="shared" si="13"/>
        <v>72735</v>
      </c>
      <c r="N36" s="140">
        <f t="shared" ref="N36" si="14">ROUND(SUM(N19:N35),5)</f>
        <v>66800</v>
      </c>
      <c r="O36" s="139">
        <f t="shared" ref="O36" si="15">ROUND(SUM(O19:O35),5)</f>
        <v>3982.63</v>
      </c>
      <c r="P36" s="140">
        <f t="shared" ref="P36" si="16">ROUND(SUM(P19:P35),5)</f>
        <v>-5935</v>
      </c>
      <c r="R36" s="105"/>
      <c r="S36" s="89"/>
      <c r="U36" s="73"/>
      <c r="V36" s="73"/>
      <c r="W36" s="73"/>
      <c r="X36" s="73"/>
      <c r="Y36" s="73"/>
      <c r="Z36" s="73"/>
      <c r="AA36" s="73"/>
      <c r="AB36" s="73" t="s">
        <v>97</v>
      </c>
      <c r="AC36" s="136">
        <v>890.68</v>
      </c>
      <c r="AE36" s="73"/>
      <c r="AF36" s="73"/>
      <c r="AG36" s="73"/>
      <c r="AH36" s="73"/>
      <c r="AI36" s="73"/>
      <c r="AJ36" s="73"/>
      <c r="AK36" s="73" t="s">
        <v>25</v>
      </c>
      <c r="AL36" s="73"/>
      <c r="AM36" s="81">
        <f>ROUND(SUM(AM19:AM35),5)</f>
        <v>13422</v>
      </c>
      <c r="AP36" s="73"/>
      <c r="AQ36" s="73"/>
      <c r="AR36" s="73"/>
      <c r="AS36" s="73"/>
      <c r="AT36" s="73"/>
      <c r="AU36" s="73" t="s">
        <v>25</v>
      </c>
      <c r="AV36" s="73"/>
      <c r="AW36" s="81">
        <f>ROUND(SUM(AW19:AW35),5)</f>
        <v>3243.97</v>
      </c>
      <c r="AY36" s="73"/>
      <c r="AZ36" s="73"/>
      <c r="BA36" s="73"/>
      <c r="BB36" s="73"/>
      <c r="BC36" s="73"/>
      <c r="BD36" s="73"/>
      <c r="BE36" s="73"/>
      <c r="BF36" s="73" t="s">
        <v>97</v>
      </c>
      <c r="BG36" s="136">
        <v>1200</v>
      </c>
      <c r="BJ36" s="73"/>
      <c r="BK36" s="73"/>
      <c r="BL36" s="73"/>
      <c r="BM36" s="73"/>
      <c r="BN36" s="73"/>
      <c r="BO36" s="73" t="s">
        <v>25</v>
      </c>
      <c r="BP36" s="73"/>
      <c r="BQ36" s="89">
        <f>ROUND(SUM(BQ19:BQ35),5)</f>
        <v>75200</v>
      </c>
    </row>
    <row r="37" spans="1:69" ht="12" customHeight="1" x14ac:dyDescent="0.2">
      <c r="A37" s="73"/>
      <c r="B37" s="73"/>
      <c r="C37" s="73"/>
      <c r="D37" s="73"/>
      <c r="E37" s="73"/>
      <c r="F37" s="73" t="s">
        <v>26</v>
      </c>
      <c r="G37" s="73"/>
      <c r="H37" s="122"/>
      <c r="I37" s="123"/>
      <c r="J37" s="123"/>
      <c r="K37" s="123"/>
      <c r="L37" s="122"/>
      <c r="M37" s="123"/>
      <c r="N37" s="124"/>
      <c r="O37" s="123"/>
      <c r="P37" s="124"/>
      <c r="R37" s="105"/>
      <c r="S37" s="89"/>
      <c r="U37" s="73"/>
      <c r="V37" s="73"/>
      <c r="W37" s="73"/>
      <c r="X37" s="73"/>
      <c r="Y37" s="73"/>
      <c r="Z37" s="73"/>
      <c r="AA37" s="73" t="s">
        <v>25</v>
      </c>
      <c r="AB37" s="73"/>
      <c r="AC37" s="89">
        <f>ROUND(SUM(AC20:AC36),5)</f>
        <v>46106.720000000001</v>
      </c>
      <c r="AE37" s="73"/>
      <c r="AF37" s="73"/>
      <c r="AG37" s="73"/>
      <c r="AH37" s="73"/>
      <c r="AI37" s="73"/>
      <c r="AJ37" s="73"/>
      <c r="AK37" s="73" t="s">
        <v>26</v>
      </c>
      <c r="AL37" s="73"/>
      <c r="AM37" s="81"/>
      <c r="AP37" s="73"/>
      <c r="AQ37" s="73"/>
      <c r="AR37" s="73"/>
      <c r="AS37" s="73"/>
      <c r="AT37" s="73"/>
      <c r="AU37" s="73" t="s">
        <v>26</v>
      </c>
      <c r="AV37" s="73"/>
      <c r="AW37" s="81"/>
      <c r="AY37" s="73"/>
      <c r="AZ37" s="73"/>
      <c r="BA37" s="73"/>
      <c r="BB37" s="73"/>
      <c r="BC37" s="73"/>
      <c r="BD37" s="73"/>
      <c r="BE37" s="73" t="s">
        <v>25</v>
      </c>
      <c r="BF37" s="73"/>
      <c r="BG37" s="89">
        <f>ROUND(SUM(BG20:BG36),5)</f>
        <v>72735</v>
      </c>
      <c r="BJ37" s="73"/>
      <c r="BK37" s="73"/>
      <c r="BL37" s="73"/>
      <c r="BM37" s="73"/>
      <c r="BN37" s="73"/>
      <c r="BO37" s="73" t="s">
        <v>26</v>
      </c>
      <c r="BP37" s="73"/>
      <c r="BQ37" s="89"/>
    </row>
    <row r="38" spans="1:69" ht="12" customHeight="1" x14ac:dyDescent="0.2">
      <c r="A38" s="73"/>
      <c r="B38" s="73"/>
      <c r="C38" s="73"/>
      <c r="D38" s="73"/>
      <c r="E38" s="73"/>
      <c r="F38" s="73"/>
      <c r="G38" s="73" t="s">
        <v>27</v>
      </c>
      <c r="H38" s="96">
        <v>257792.82</v>
      </c>
      <c r="I38" s="97">
        <v>23489</v>
      </c>
      <c r="J38" s="97">
        <v>23489</v>
      </c>
      <c r="K38" s="98">
        <f t="shared" ref="K38:K45" si="17">SUM(H38:J38)</f>
        <v>304770.82</v>
      </c>
      <c r="L38" s="125">
        <v>347298</v>
      </c>
      <c r="M38" s="100">
        <v>331316</v>
      </c>
      <c r="N38" s="101">
        <f>+'2024-Payroll'!G36-'2024 Exp'!N39</f>
        <v>305396.0808</v>
      </c>
      <c r="O38" s="102">
        <f t="shared" ref="O38:O45" si="18">N38-K38</f>
        <v>625.2607999999891</v>
      </c>
      <c r="P38" s="103">
        <f t="shared" ref="P38:P45" si="19">N38-M38</f>
        <v>-25919.919200000004</v>
      </c>
      <c r="R38" s="105"/>
      <c r="S38" s="89"/>
      <c r="U38" s="73"/>
      <c r="V38" s="73"/>
      <c r="W38" s="73"/>
      <c r="X38" s="73"/>
      <c r="Y38" s="73"/>
      <c r="Z38" s="73"/>
      <c r="AA38" s="73" t="s">
        <v>26</v>
      </c>
      <c r="AB38" s="73"/>
      <c r="AC38" s="89"/>
      <c r="AE38" s="73"/>
      <c r="AF38" s="73"/>
      <c r="AG38" s="73"/>
      <c r="AH38" s="73"/>
      <c r="AI38" s="73"/>
      <c r="AJ38" s="73"/>
      <c r="AK38" s="73"/>
      <c r="AL38" s="73" t="s">
        <v>27</v>
      </c>
      <c r="AM38" s="81">
        <v>29354.09</v>
      </c>
      <c r="AP38" s="73"/>
      <c r="AQ38" s="73"/>
      <c r="AR38" s="73"/>
      <c r="AS38" s="73"/>
      <c r="AT38" s="73"/>
      <c r="AU38" s="73"/>
      <c r="AV38" s="73" t="s">
        <v>27</v>
      </c>
      <c r="AW38" s="81">
        <v>28976.79</v>
      </c>
      <c r="AY38" s="73"/>
      <c r="AZ38" s="73"/>
      <c r="BA38" s="73"/>
      <c r="BB38" s="73"/>
      <c r="BC38" s="73"/>
      <c r="BD38" s="73"/>
      <c r="BE38" s="73" t="s">
        <v>26</v>
      </c>
      <c r="BF38" s="73"/>
      <c r="BG38" s="89"/>
      <c r="BJ38" s="73"/>
      <c r="BK38" s="73"/>
      <c r="BL38" s="73"/>
      <c r="BM38" s="73"/>
      <c r="BN38" s="73"/>
      <c r="BO38" s="73"/>
      <c r="BP38" s="73" t="s">
        <v>27</v>
      </c>
      <c r="BQ38" s="89">
        <v>347298</v>
      </c>
    </row>
    <row r="39" spans="1:69" ht="12" customHeight="1" x14ac:dyDescent="0.2">
      <c r="A39" s="73"/>
      <c r="B39" s="73"/>
      <c r="C39" s="73"/>
      <c r="D39" s="73"/>
      <c r="E39" s="73"/>
      <c r="F39" s="73"/>
      <c r="G39" s="73" t="s">
        <v>28</v>
      </c>
      <c r="H39" s="96">
        <v>45500.1</v>
      </c>
      <c r="I39" s="97">
        <v>3508</v>
      </c>
      <c r="J39" s="97">
        <v>3508</v>
      </c>
      <c r="K39" s="98">
        <f t="shared" si="17"/>
        <v>52516.1</v>
      </c>
      <c r="L39" s="125">
        <v>80000</v>
      </c>
      <c r="M39" s="100">
        <v>67100</v>
      </c>
      <c r="N39" s="101">
        <v>60000</v>
      </c>
      <c r="O39" s="102">
        <f t="shared" si="18"/>
        <v>7483.9000000000015</v>
      </c>
      <c r="P39" s="103">
        <f t="shared" si="19"/>
        <v>-7100</v>
      </c>
      <c r="R39" s="105"/>
      <c r="S39" s="89"/>
      <c r="U39" s="73"/>
      <c r="V39" s="73"/>
      <c r="W39" s="73"/>
      <c r="X39" s="73"/>
      <c r="Y39" s="73"/>
      <c r="Z39" s="73"/>
      <c r="AA39" s="73"/>
      <c r="AB39" s="73" t="s">
        <v>27</v>
      </c>
      <c r="AC39" s="89">
        <v>257792.82</v>
      </c>
      <c r="AE39" s="73"/>
      <c r="AF39" s="73"/>
      <c r="AG39" s="73"/>
      <c r="AH39" s="73"/>
      <c r="AI39" s="73"/>
      <c r="AJ39" s="73"/>
      <c r="AK39" s="73"/>
      <c r="AL39" s="73" t="s">
        <v>28</v>
      </c>
      <c r="AM39" s="81">
        <v>5416.68</v>
      </c>
      <c r="AP39" s="73"/>
      <c r="AQ39" s="73"/>
      <c r="AR39" s="73"/>
      <c r="AS39" s="73"/>
      <c r="AT39" s="73"/>
      <c r="AU39" s="73"/>
      <c r="AV39" s="73" t="s">
        <v>28</v>
      </c>
      <c r="AW39" s="81">
        <v>5416.52</v>
      </c>
      <c r="AY39" s="73"/>
      <c r="AZ39" s="73"/>
      <c r="BA39" s="73"/>
      <c r="BB39" s="73"/>
      <c r="BC39" s="73"/>
      <c r="BD39" s="73"/>
      <c r="BE39" s="73"/>
      <c r="BF39" s="73" t="s">
        <v>27</v>
      </c>
      <c r="BG39" s="89">
        <v>331316</v>
      </c>
      <c r="BJ39" s="73"/>
      <c r="BK39" s="73"/>
      <c r="BL39" s="73"/>
      <c r="BM39" s="73"/>
      <c r="BN39" s="73"/>
      <c r="BO39" s="73"/>
      <c r="BP39" s="73" t="s">
        <v>28</v>
      </c>
      <c r="BQ39" s="89">
        <v>80000</v>
      </c>
    </row>
    <row r="40" spans="1:69" ht="12" customHeight="1" x14ac:dyDescent="0.2">
      <c r="A40" s="73"/>
      <c r="B40" s="73"/>
      <c r="C40" s="73"/>
      <c r="D40" s="73"/>
      <c r="E40" s="73"/>
      <c r="F40" s="73"/>
      <c r="G40" s="73" t="s">
        <v>29</v>
      </c>
      <c r="H40" s="96">
        <v>375.53</v>
      </c>
      <c r="I40" s="97">
        <v>54</v>
      </c>
      <c r="J40" s="97">
        <v>0</v>
      </c>
      <c r="K40" s="98">
        <f t="shared" si="17"/>
        <v>429.53</v>
      </c>
      <c r="L40" s="125">
        <v>1200</v>
      </c>
      <c r="M40" s="100">
        <v>1200</v>
      </c>
      <c r="N40" s="101">
        <f>+'2024-Payroll'!O36</f>
        <v>1800</v>
      </c>
      <c r="O40" s="102">
        <f t="shared" si="18"/>
        <v>1370.47</v>
      </c>
      <c r="P40" s="103">
        <f t="shared" si="19"/>
        <v>600</v>
      </c>
      <c r="R40" s="105"/>
      <c r="S40" s="89"/>
      <c r="U40" s="73"/>
      <c r="V40" s="73"/>
      <c r="W40" s="73"/>
      <c r="X40" s="73"/>
      <c r="Y40" s="73"/>
      <c r="Z40" s="73"/>
      <c r="AA40" s="73"/>
      <c r="AB40" s="73" t="s">
        <v>125</v>
      </c>
      <c r="AC40" s="89">
        <v>0</v>
      </c>
      <c r="AE40" s="73"/>
      <c r="AF40" s="73"/>
      <c r="AG40" s="73"/>
      <c r="AH40" s="73"/>
      <c r="AI40" s="73"/>
      <c r="AJ40" s="73"/>
      <c r="AK40" s="73"/>
      <c r="AL40" s="73" t="s">
        <v>29</v>
      </c>
      <c r="AM40" s="81">
        <v>54</v>
      </c>
      <c r="AP40" s="73"/>
      <c r="AQ40" s="73"/>
      <c r="AR40" s="73"/>
      <c r="AS40" s="73"/>
      <c r="AT40" s="73"/>
      <c r="AU40" s="73"/>
      <c r="AV40" s="73" t="s">
        <v>29</v>
      </c>
      <c r="AW40" s="81">
        <v>0</v>
      </c>
      <c r="AY40" s="73"/>
      <c r="AZ40" s="73"/>
      <c r="BA40" s="73"/>
      <c r="BB40" s="73"/>
      <c r="BC40" s="73"/>
      <c r="BD40" s="73"/>
      <c r="BE40" s="73"/>
      <c r="BF40" s="73" t="s">
        <v>125</v>
      </c>
      <c r="BG40" s="89"/>
      <c r="BJ40" s="73"/>
      <c r="BK40" s="73"/>
      <c r="BL40" s="73"/>
      <c r="BM40" s="73"/>
      <c r="BN40" s="73"/>
      <c r="BO40" s="73"/>
      <c r="BP40" s="73" t="s">
        <v>29</v>
      </c>
      <c r="BQ40" s="89">
        <v>1200</v>
      </c>
    </row>
    <row r="41" spans="1:69" ht="12" customHeight="1" x14ac:dyDescent="0.2">
      <c r="A41" s="73"/>
      <c r="B41" s="73"/>
      <c r="C41" s="73"/>
      <c r="D41" s="73"/>
      <c r="E41" s="73"/>
      <c r="F41" s="73"/>
      <c r="G41" s="73" t="s">
        <v>30</v>
      </c>
      <c r="H41" s="96">
        <v>3156.32</v>
      </c>
      <c r="I41" s="97">
        <v>0</v>
      </c>
      <c r="J41" s="97">
        <v>0</v>
      </c>
      <c r="K41" s="98">
        <f t="shared" si="17"/>
        <v>3156.32</v>
      </c>
      <c r="L41" s="125">
        <v>6800</v>
      </c>
      <c r="M41" s="100">
        <v>5150</v>
      </c>
      <c r="N41" s="101">
        <f>+'2024-Payroll'!N36</f>
        <v>5650</v>
      </c>
      <c r="O41" s="102">
        <f t="shared" si="18"/>
        <v>2493.6799999999998</v>
      </c>
      <c r="P41" s="103">
        <f t="shared" si="19"/>
        <v>500</v>
      </c>
      <c r="R41" s="105"/>
      <c r="S41" s="89"/>
      <c r="U41" s="73"/>
      <c r="V41" s="73"/>
      <c r="W41" s="73"/>
      <c r="X41" s="73"/>
      <c r="Y41" s="73"/>
      <c r="Z41" s="73"/>
      <c r="AA41" s="73"/>
      <c r="AB41" s="73" t="s">
        <v>28</v>
      </c>
      <c r="AC41" s="89">
        <v>45500.1</v>
      </c>
      <c r="AE41" s="73"/>
      <c r="AF41" s="73"/>
      <c r="AG41" s="73"/>
      <c r="AH41" s="73"/>
      <c r="AI41" s="73"/>
      <c r="AJ41" s="73"/>
      <c r="AK41" s="73"/>
      <c r="AL41" s="73" t="s">
        <v>30</v>
      </c>
      <c r="AM41" s="81">
        <v>0</v>
      </c>
      <c r="AP41" s="73"/>
      <c r="AQ41" s="73"/>
      <c r="AR41" s="73"/>
      <c r="AS41" s="73"/>
      <c r="AT41" s="73"/>
      <c r="AU41" s="73"/>
      <c r="AV41" s="73" t="s">
        <v>30</v>
      </c>
      <c r="AW41" s="81">
        <v>0</v>
      </c>
      <c r="AY41" s="73"/>
      <c r="AZ41" s="73"/>
      <c r="BA41" s="73"/>
      <c r="BB41" s="73"/>
      <c r="BC41" s="73"/>
      <c r="BD41" s="73"/>
      <c r="BE41" s="73"/>
      <c r="BF41" s="73" t="s">
        <v>28</v>
      </c>
      <c r="BG41" s="89">
        <v>67100</v>
      </c>
      <c r="BJ41" s="73"/>
      <c r="BK41" s="73"/>
      <c r="BL41" s="73"/>
      <c r="BM41" s="73"/>
      <c r="BN41" s="73"/>
      <c r="BO41" s="73"/>
      <c r="BP41" s="73" t="s">
        <v>30</v>
      </c>
      <c r="BQ41" s="89">
        <v>6800</v>
      </c>
    </row>
    <row r="42" spans="1:69" ht="12" customHeight="1" x14ac:dyDescent="0.2">
      <c r="A42" s="73"/>
      <c r="B42" s="73"/>
      <c r="C42" s="73"/>
      <c r="D42" s="73"/>
      <c r="E42" s="73"/>
      <c r="F42" s="73"/>
      <c r="G42" s="73" t="s">
        <v>31</v>
      </c>
      <c r="H42" s="96">
        <v>4659</v>
      </c>
      <c r="I42" s="97">
        <v>0</v>
      </c>
      <c r="J42" s="97">
        <v>0</v>
      </c>
      <c r="K42" s="98">
        <f t="shared" si="17"/>
        <v>4659</v>
      </c>
      <c r="L42" s="125">
        <v>5800</v>
      </c>
      <c r="M42" s="100">
        <v>5500</v>
      </c>
      <c r="N42" s="101">
        <f>+'2024-Payroll'!P36</f>
        <v>5000</v>
      </c>
      <c r="O42" s="102">
        <f t="shared" si="18"/>
        <v>341</v>
      </c>
      <c r="P42" s="103">
        <f t="shared" si="19"/>
        <v>-500</v>
      </c>
      <c r="R42" s="105"/>
      <c r="S42" s="89"/>
      <c r="U42" s="73"/>
      <c r="V42" s="73"/>
      <c r="W42" s="73"/>
      <c r="X42" s="73"/>
      <c r="Y42" s="73"/>
      <c r="Z42" s="73"/>
      <c r="AA42" s="73"/>
      <c r="AB42" s="73" t="s">
        <v>29</v>
      </c>
      <c r="AC42" s="89">
        <v>375.53</v>
      </c>
      <c r="AE42" s="73"/>
      <c r="AF42" s="73"/>
      <c r="AG42" s="73"/>
      <c r="AH42" s="73"/>
      <c r="AI42" s="73"/>
      <c r="AJ42" s="73"/>
      <c r="AK42" s="73"/>
      <c r="AL42" s="73" t="s">
        <v>31</v>
      </c>
      <c r="AM42" s="81">
        <v>0</v>
      </c>
      <c r="AP42" s="73"/>
      <c r="AQ42" s="73"/>
      <c r="AR42" s="73"/>
      <c r="AS42" s="73"/>
      <c r="AT42" s="73"/>
      <c r="AU42" s="73"/>
      <c r="AV42" s="73" t="s">
        <v>31</v>
      </c>
      <c r="AW42" s="81">
        <v>0</v>
      </c>
      <c r="AY42" s="73"/>
      <c r="AZ42" s="73"/>
      <c r="BA42" s="73"/>
      <c r="BB42" s="73"/>
      <c r="BC42" s="73"/>
      <c r="BD42" s="73"/>
      <c r="BE42" s="73"/>
      <c r="BF42" s="73" t="s">
        <v>29</v>
      </c>
      <c r="BG42" s="89">
        <v>1200</v>
      </c>
      <c r="BJ42" s="73"/>
      <c r="BK42" s="73"/>
      <c r="BL42" s="73"/>
      <c r="BM42" s="73"/>
      <c r="BN42" s="73"/>
      <c r="BO42" s="73"/>
      <c r="BP42" s="73" t="s">
        <v>31</v>
      </c>
      <c r="BQ42" s="89">
        <v>5800</v>
      </c>
    </row>
    <row r="43" spans="1:69" ht="12" customHeight="1" x14ac:dyDescent="0.2">
      <c r="A43" s="73"/>
      <c r="B43" s="73"/>
      <c r="C43" s="73"/>
      <c r="D43" s="73"/>
      <c r="E43" s="73"/>
      <c r="F43" s="73"/>
      <c r="G43" s="73" t="s">
        <v>32</v>
      </c>
      <c r="H43" s="96">
        <v>30163.73</v>
      </c>
      <c r="I43" s="97">
        <v>2971</v>
      </c>
      <c r="J43" s="97">
        <v>2971</v>
      </c>
      <c r="K43" s="98">
        <f t="shared" si="17"/>
        <v>36105.729999999996</v>
      </c>
      <c r="L43" s="125">
        <v>47772</v>
      </c>
      <c r="M43" s="100">
        <v>36003</v>
      </c>
      <c r="N43" s="101">
        <f>+'2024-Payroll'!K36+'2024-Payroll'!L36+'2024-Payroll'!M36</f>
        <v>35735</v>
      </c>
      <c r="O43" s="102">
        <f>N43-K43</f>
        <v>-370.72999999999593</v>
      </c>
      <c r="P43" s="103">
        <f>N43-M43</f>
        <v>-268</v>
      </c>
      <c r="R43" s="105"/>
      <c r="S43" s="89"/>
      <c r="U43" s="73"/>
      <c r="V43" s="73"/>
      <c r="W43" s="73"/>
      <c r="X43" s="73"/>
      <c r="Y43" s="73"/>
      <c r="Z43" s="73"/>
      <c r="AA43" s="73"/>
      <c r="AB43" s="73" t="s">
        <v>30</v>
      </c>
      <c r="AC43" s="89">
        <v>3156.32</v>
      </c>
      <c r="AE43" s="73"/>
      <c r="AF43" s="73"/>
      <c r="AG43" s="73"/>
      <c r="AH43" s="73"/>
      <c r="AI43" s="73"/>
      <c r="AJ43" s="73"/>
      <c r="AK43" s="73"/>
      <c r="AL43" s="73" t="s">
        <v>32</v>
      </c>
      <c r="AM43" s="81">
        <v>4123.2700000000004</v>
      </c>
      <c r="AP43" s="73"/>
      <c r="AQ43" s="73"/>
      <c r="AR43" s="73"/>
      <c r="AS43" s="73"/>
      <c r="AT43" s="73"/>
      <c r="AU43" s="73"/>
      <c r="AV43" s="73" t="s">
        <v>32</v>
      </c>
      <c r="AW43" s="81">
        <v>2643.37</v>
      </c>
      <c r="AY43" s="73"/>
      <c r="AZ43" s="73"/>
      <c r="BA43" s="73"/>
      <c r="BB43" s="73"/>
      <c r="BC43" s="73"/>
      <c r="BD43" s="73"/>
      <c r="BE43" s="73"/>
      <c r="BF43" s="73" t="s">
        <v>30</v>
      </c>
      <c r="BG43" s="89">
        <v>5150</v>
      </c>
      <c r="BJ43" s="73"/>
      <c r="BK43" s="73"/>
      <c r="BL43" s="73"/>
      <c r="BM43" s="73"/>
      <c r="BN43" s="73"/>
      <c r="BO43" s="73"/>
      <c r="BP43" s="73" t="s">
        <v>32</v>
      </c>
      <c r="BQ43" s="89">
        <v>47772</v>
      </c>
    </row>
    <row r="44" spans="1:69" ht="12" customHeight="1" x14ac:dyDescent="0.2">
      <c r="A44" s="73"/>
      <c r="B44" s="73"/>
      <c r="C44" s="73"/>
      <c r="D44" s="73"/>
      <c r="E44" s="73"/>
      <c r="F44" s="73"/>
      <c r="G44" s="73" t="s">
        <v>33</v>
      </c>
      <c r="H44" s="96">
        <v>7819.15</v>
      </c>
      <c r="I44" s="97">
        <v>911.31</v>
      </c>
      <c r="J44" s="97">
        <v>911.31</v>
      </c>
      <c r="K44" s="98">
        <f t="shared" si="17"/>
        <v>9641.7699999999986</v>
      </c>
      <c r="L44" s="125">
        <v>11155</v>
      </c>
      <c r="M44" s="100">
        <v>10528</v>
      </c>
      <c r="N44" s="101">
        <f>+'2024-Payroll'!I36</f>
        <v>9493.4845999999998</v>
      </c>
      <c r="O44" s="102">
        <f>N44-K44</f>
        <v>-148.28539999999884</v>
      </c>
      <c r="P44" s="103">
        <f>N44-M44</f>
        <v>-1034.5154000000002</v>
      </c>
      <c r="R44" s="105"/>
      <c r="S44" s="89"/>
      <c r="U44" s="73"/>
      <c r="V44" s="73"/>
      <c r="W44" s="73"/>
      <c r="X44" s="73"/>
      <c r="Y44" s="73"/>
      <c r="Z44" s="73"/>
      <c r="AA44" s="73"/>
      <c r="AB44" s="73" t="s">
        <v>31</v>
      </c>
      <c r="AC44" s="89">
        <v>4659</v>
      </c>
      <c r="AE44" s="73"/>
      <c r="AF44" s="73"/>
      <c r="AG44" s="73"/>
      <c r="AH44" s="73"/>
      <c r="AI44" s="73"/>
      <c r="AJ44" s="73"/>
      <c r="AK44" s="73"/>
      <c r="AL44" s="73" t="s">
        <v>33</v>
      </c>
      <c r="AM44" s="81">
        <v>911.31</v>
      </c>
      <c r="AP44" s="73"/>
      <c r="AQ44" s="73"/>
      <c r="AR44" s="73"/>
      <c r="AS44" s="73"/>
      <c r="AT44" s="73"/>
      <c r="AU44" s="73"/>
      <c r="AV44" s="73" t="s">
        <v>33</v>
      </c>
      <c r="AW44" s="81">
        <v>911.31</v>
      </c>
      <c r="AY44" s="73"/>
      <c r="AZ44" s="73"/>
      <c r="BA44" s="73"/>
      <c r="BB44" s="73"/>
      <c r="BC44" s="73"/>
      <c r="BD44" s="73"/>
      <c r="BE44" s="73"/>
      <c r="BF44" s="73" t="s">
        <v>31</v>
      </c>
      <c r="BG44" s="89">
        <v>5500</v>
      </c>
      <c r="BJ44" s="73"/>
      <c r="BK44" s="73"/>
      <c r="BL44" s="73"/>
      <c r="BM44" s="73"/>
      <c r="BN44" s="73"/>
      <c r="BO44" s="73"/>
      <c r="BP44" s="73" t="s">
        <v>33</v>
      </c>
      <c r="BQ44" s="89">
        <v>11155</v>
      </c>
    </row>
    <row r="45" spans="1:69" ht="12" customHeight="1" thickBot="1" x14ac:dyDescent="0.25">
      <c r="A45" s="73"/>
      <c r="B45" s="106"/>
      <c r="C45" s="106"/>
      <c r="D45" s="106"/>
      <c r="E45" s="106"/>
      <c r="F45" s="106"/>
      <c r="G45" s="107" t="s">
        <v>34</v>
      </c>
      <c r="H45" s="127">
        <v>7490.83</v>
      </c>
      <c r="I45" s="128">
        <v>653.12</v>
      </c>
      <c r="J45" s="128">
        <v>629.27</v>
      </c>
      <c r="K45" s="129">
        <f t="shared" si="17"/>
        <v>8773.2199999999993</v>
      </c>
      <c r="L45" s="130">
        <v>8818</v>
      </c>
      <c r="M45" s="131">
        <v>8637</v>
      </c>
      <c r="N45" s="132">
        <f>+'2024-Payroll'!J36</f>
        <v>9125.177101199999</v>
      </c>
      <c r="O45" s="133">
        <f t="shared" si="18"/>
        <v>351.95710119999967</v>
      </c>
      <c r="P45" s="134">
        <f t="shared" si="19"/>
        <v>488.17710119999902</v>
      </c>
      <c r="R45" s="105"/>
      <c r="S45" s="89"/>
      <c r="U45" s="73"/>
      <c r="V45" s="73"/>
      <c r="W45" s="73"/>
      <c r="X45" s="73"/>
      <c r="Y45" s="73"/>
      <c r="Z45" s="73"/>
      <c r="AA45" s="73"/>
      <c r="AB45" s="73" t="s">
        <v>32</v>
      </c>
      <c r="AC45" s="89">
        <v>30163.73</v>
      </c>
      <c r="AE45" s="73"/>
      <c r="AF45" s="73"/>
      <c r="AG45" s="73"/>
      <c r="AH45" s="73"/>
      <c r="AI45" s="73"/>
      <c r="AJ45" s="73"/>
      <c r="AK45" s="73"/>
      <c r="AL45" s="73" t="s">
        <v>34</v>
      </c>
      <c r="AM45" s="135">
        <v>653.12</v>
      </c>
      <c r="AP45" s="73"/>
      <c r="AQ45" s="73"/>
      <c r="AR45" s="73"/>
      <c r="AS45" s="73"/>
      <c r="AT45" s="73"/>
      <c r="AU45" s="73"/>
      <c r="AV45" s="73" t="s">
        <v>34</v>
      </c>
      <c r="AW45" s="135">
        <v>629.27</v>
      </c>
      <c r="AY45" s="73"/>
      <c r="AZ45" s="73"/>
      <c r="BA45" s="73"/>
      <c r="BB45" s="73"/>
      <c r="BC45" s="73"/>
      <c r="BD45" s="73"/>
      <c r="BE45" s="73"/>
      <c r="BF45" s="73" t="s">
        <v>32</v>
      </c>
      <c r="BG45" s="89">
        <v>36003</v>
      </c>
      <c r="BJ45" s="73"/>
      <c r="BK45" s="73"/>
      <c r="BL45" s="73"/>
      <c r="BM45" s="73"/>
      <c r="BN45" s="73"/>
      <c r="BO45" s="73"/>
      <c r="BP45" s="73" t="s">
        <v>34</v>
      </c>
      <c r="BQ45" s="136">
        <v>8818</v>
      </c>
    </row>
    <row r="46" spans="1:69" ht="12" customHeight="1" x14ac:dyDescent="0.2">
      <c r="A46" s="73"/>
      <c r="B46" s="137"/>
      <c r="C46" s="137"/>
      <c r="D46" s="137"/>
      <c r="E46" s="137"/>
      <c r="F46" s="137" t="s">
        <v>35</v>
      </c>
      <c r="G46" s="137"/>
      <c r="H46" s="138">
        <f>ROUND(SUM(H37:H45),5)</f>
        <v>356957.48</v>
      </c>
      <c r="I46" s="139">
        <f t="shared" ref="I46:N46" si="20">ROUND(SUM(I37:I45),5)</f>
        <v>31586.43</v>
      </c>
      <c r="J46" s="139">
        <f t="shared" si="20"/>
        <v>31508.58</v>
      </c>
      <c r="K46" s="139">
        <f t="shared" si="20"/>
        <v>420052.49</v>
      </c>
      <c r="L46" s="138">
        <f t="shared" si="20"/>
        <v>508843</v>
      </c>
      <c r="M46" s="139">
        <f t="shared" si="20"/>
        <v>465434</v>
      </c>
      <c r="N46" s="140">
        <f t="shared" si="20"/>
        <v>432199.74249999999</v>
      </c>
      <c r="O46" s="139">
        <f t="shared" ref="O46" si="21">ROUND(SUM(O37:O45),5)</f>
        <v>12147.252500000001</v>
      </c>
      <c r="P46" s="140">
        <f t="shared" ref="P46" si="22">ROUND(SUM(P37:P45),5)</f>
        <v>-33234.2575</v>
      </c>
      <c r="R46" s="105"/>
      <c r="S46" s="89"/>
      <c r="U46" s="73"/>
      <c r="V46" s="73"/>
      <c r="W46" s="73"/>
      <c r="X46" s="73"/>
      <c r="Y46" s="73"/>
      <c r="Z46" s="73"/>
      <c r="AA46" s="73"/>
      <c r="AB46" s="73" t="s">
        <v>33</v>
      </c>
      <c r="AC46" s="89">
        <v>7819.15</v>
      </c>
      <c r="AE46" s="73"/>
      <c r="AF46" s="73"/>
      <c r="AG46" s="73"/>
      <c r="AH46" s="73"/>
      <c r="AI46" s="73"/>
      <c r="AJ46" s="73"/>
      <c r="AK46" s="73" t="s">
        <v>35</v>
      </c>
      <c r="AL46" s="73"/>
      <c r="AM46" s="81">
        <f>ROUND(SUM(AM37:AM45),5)</f>
        <v>40512.47</v>
      </c>
      <c r="AP46" s="73"/>
      <c r="AQ46" s="73"/>
      <c r="AR46" s="73"/>
      <c r="AS46" s="73"/>
      <c r="AT46" s="73"/>
      <c r="AU46" s="73" t="s">
        <v>35</v>
      </c>
      <c r="AV46" s="73"/>
      <c r="AW46" s="81">
        <f>ROUND(SUM(AW37:AW45),5)</f>
        <v>38577.26</v>
      </c>
      <c r="AY46" s="73"/>
      <c r="AZ46" s="73"/>
      <c r="BA46" s="73"/>
      <c r="BB46" s="73"/>
      <c r="BC46" s="73"/>
      <c r="BD46" s="73"/>
      <c r="BE46" s="73"/>
      <c r="BF46" s="73" t="s">
        <v>33</v>
      </c>
      <c r="BG46" s="89">
        <v>10528</v>
      </c>
      <c r="BJ46" s="73"/>
      <c r="BK46" s="73"/>
      <c r="BL46" s="73"/>
      <c r="BM46" s="73"/>
      <c r="BN46" s="73"/>
      <c r="BO46" s="73" t="s">
        <v>35</v>
      </c>
      <c r="BP46" s="73"/>
      <c r="BQ46" s="89">
        <f>ROUND(SUM(BQ37:BQ45),5)</f>
        <v>508843</v>
      </c>
    </row>
    <row r="47" spans="1:69" ht="12" customHeight="1" thickBot="1" x14ac:dyDescent="0.25">
      <c r="A47" s="73"/>
      <c r="B47" s="73"/>
      <c r="C47" s="73"/>
      <c r="D47" s="73"/>
      <c r="E47" s="73"/>
      <c r="F47" s="73" t="s">
        <v>36</v>
      </c>
      <c r="G47" s="73"/>
      <c r="H47" s="122"/>
      <c r="I47" s="123"/>
      <c r="J47" s="123"/>
      <c r="K47" s="123"/>
      <c r="L47" s="122"/>
      <c r="M47" s="123"/>
      <c r="N47" s="124"/>
      <c r="O47" s="123"/>
      <c r="P47" s="124"/>
      <c r="R47" s="105"/>
      <c r="S47" s="89"/>
      <c r="U47" s="73"/>
      <c r="V47" s="73"/>
      <c r="W47" s="73"/>
      <c r="X47" s="73"/>
      <c r="Y47" s="73"/>
      <c r="Z47" s="73"/>
      <c r="AA47" s="73"/>
      <c r="AB47" s="73" t="s">
        <v>34</v>
      </c>
      <c r="AC47" s="136">
        <v>7490.83</v>
      </c>
      <c r="AE47" s="73"/>
      <c r="AF47" s="73"/>
      <c r="AG47" s="73"/>
      <c r="AH47" s="73"/>
      <c r="AI47" s="73"/>
      <c r="AJ47" s="73"/>
      <c r="AK47" s="73" t="s">
        <v>36</v>
      </c>
      <c r="AL47" s="73"/>
      <c r="AM47" s="81"/>
      <c r="AP47" s="73"/>
      <c r="AQ47" s="73"/>
      <c r="AR47" s="73"/>
      <c r="AS47" s="73"/>
      <c r="AT47" s="73"/>
      <c r="AU47" s="73" t="s">
        <v>36</v>
      </c>
      <c r="AV47" s="73"/>
      <c r="AW47" s="81"/>
      <c r="AY47" s="73"/>
      <c r="AZ47" s="73"/>
      <c r="BA47" s="73"/>
      <c r="BB47" s="73"/>
      <c r="BC47" s="73"/>
      <c r="BD47" s="73"/>
      <c r="BE47" s="73"/>
      <c r="BF47" s="73" t="s">
        <v>34</v>
      </c>
      <c r="BG47" s="136">
        <v>8637</v>
      </c>
      <c r="BJ47" s="73"/>
      <c r="BK47" s="73"/>
      <c r="BL47" s="73"/>
      <c r="BM47" s="73"/>
      <c r="BN47" s="73"/>
      <c r="BO47" s="73" t="s">
        <v>36</v>
      </c>
      <c r="BP47" s="73"/>
      <c r="BQ47" s="89"/>
    </row>
    <row r="48" spans="1:69" ht="12" customHeight="1" x14ac:dyDescent="0.2">
      <c r="A48" s="73"/>
      <c r="B48" s="73"/>
      <c r="C48" s="73"/>
      <c r="D48" s="73"/>
      <c r="E48" s="73"/>
      <c r="F48" s="73"/>
      <c r="G48" s="73" t="s">
        <v>37</v>
      </c>
      <c r="H48" s="96">
        <v>2335.75</v>
      </c>
      <c r="I48" s="97">
        <v>716.75</v>
      </c>
      <c r="J48" s="97">
        <v>0</v>
      </c>
      <c r="K48" s="98">
        <f t="shared" ref="K48:K50" si="23">SUM(H48:J48)</f>
        <v>3052.5</v>
      </c>
      <c r="L48" s="125">
        <v>3000</v>
      </c>
      <c r="M48" s="100">
        <v>2900</v>
      </c>
      <c r="N48" s="101">
        <v>3100</v>
      </c>
      <c r="O48" s="102">
        <f t="shared" ref="O48:O50" si="24">N48-K48</f>
        <v>47.5</v>
      </c>
      <c r="P48" s="103">
        <f t="shared" ref="P48:P50" si="25">N48-M48</f>
        <v>200</v>
      </c>
      <c r="R48" s="73"/>
      <c r="S48" s="89"/>
      <c r="U48" s="73"/>
      <c r="V48" s="73"/>
      <c r="W48" s="73"/>
      <c r="X48" s="73"/>
      <c r="Y48" s="73"/>
      <c r="Z48" s="73"/>
      <c r="AA48" s="73" t="s">
        <v>35</v>
      </c>
      <c r="AB48" s="73"/>
      <c r="AC48" s="89">
        <f>ROUND(SUM(AC38:AC47),5)</f>
        <v>356957.48</v>
      </c>
      <c r="AE48" s="73"/>
      <c r="AF48" s="73"/>
      <c r="AG48" s="73"/>
      <c r="AH48" s="73"/>
      <c r="AI48" s="73"/>
      <c r="AJ48" s="73"/>
      <c r="AK48" s="73"/>
      <c r="AL48" s="73" t="s">
        <v>37</v>
      </c>
      <c r="AM48" s="81">
        <v>716.75</v>
      </c>
      <c r="AP48" s="73"/>
      <c r="AQ48" s="73"/>
      <c r="AR48" s="73"/>
      <c r="AS48" s="73"/>
      <c r="AT48" s="73"/>
      <c r="AU48" s="73"/>
      <c r="AV48" s="73" t="s">
        <v>37</v>
      </c>
      <c r="AW48" s="81">
        <v>0</v>
      </c>
      <c r="AY48" s="73"/>
      <c r="AZ48" s="73"/>
      <c r="BA48" s="73"/>
      <c r="BB48" s="73"/>
      <c r="BC48" s="73"/>
      <c r="BD48" s="73"/>
      <c r="BE48" s="73" t="s">
        <v>35</v>
      </c>
      <c r="BF48" s="73"/>
      <c r="BG48" s="89">
        <f>ROUND(SUM(BG38:BG47),5)</f>
        <v>465434</v>
      </c>
      <c r="BJ48" s="73"/>
      <c r="BK48" s="73"/>
      <c r="BL48" s="73"/>
      <c r="BM48" s="73"/>
      <c r="BN48" s="73"/>
      <c r="BO48" s="73"/>
      <c r="BP48" s="73" t="s">
        <v>37</v>
      </c>
      <c r="BQ48" s="89">
        <v>3000</v>
      </c>
    </row>
    <row r="49" spans="1:69" ht="12" customHeight="1" x14ac:dyDescent="0.2">
      <c r="A49" s="73"/>
      <c r="B49" s="73"/>
      <c r="C49" s="73"/>
      <c r="D49" s="73"/>
      <c r="E49" s="73"/>
      <c r="F49" s="73"/>
      <c r="G49" s="73" t="s">
        <v>38</v>
      </c>
      <c r="H49" s="96">
        <v>718.37</v>
      </c>
      <c r="I49" s="97">
        <v>27.26</v>
      </c>
      <c r="J49" s="97">
        <v>118.83</v>
      </c>
      <c r="K49" s="98">
        <f t="shared" si="23"/>
        <v>864.46</v>
      </c>
      <c r="L49" s="125">
        <v>1000</v>
      </c>
      <c r="M49" s="100">
        <v>700</v>
      </c>
      <c r="N49" s="101">
        <v>900</v>
      </c>
      <c r="O49" s="102">
        <f t="shared" si="24"/>
        <v>35.539999999999964</v>
      </c>
      <c r="P49" s="103">
        <f t="shared" si="25"/>
        <v>200</v>
      </c>
      <c r="R49" s="73"/>
      <c r="S49" s="89"/>
      <c r="U49" s="73"/>
      <c r="V49" s="73"/>
      <c r="W49" s="73"/>
      <c r="X49" s="73"/>
      <c r="Y49" s="73"/>
      <c r="Z49" s="73"/>
      <c r="AA49" s="73" t="s">
        <v>36</v>
      </c>
      <c r="AB49" s="73"/>
      <c r="AC49" s="89"/>
      <c r="AE49" s="73"/>
      <c r="AF49" s="73"/>
      <c r="AG49" s="73"/>
      <c r="AH49" s="73"/>
      <c r="AI49" s="73"/>
      <c r="AJ49" s="73"/>
      <c r="AK49" s="73"/>
      <c r="AL49" s="73" t="s">
        <v>38</v>
      </c>
      <c r="AM49" s="81">
        <v>27.26</v>
      </c>
      <c r="AP49" s="73"/>
      <c r="AQ49" s="73"/>
      <c r="AR49" s="73"/>
      <c r="AS49" s="73"/>
      <c r="AT49" s="73"/>
      <c r="AU49" s="73"/>
      <c r="AV49" s="73" t="s">
        <v>38</v>
      </c>
      <c r="AW49" s="81">
        <v>118.83</v>
      </c>
      <c r="AY49" s="73"/>
      <c r="AZ49" s="73"/>
      <c r="BA49" s="73"/>
      <c r="BB49" s="73"/>
      <c r="BC49" s="73"/>
      <c r="BD49" s="73"/>
      <c r="BE49" s="73" t="s">
        <v>36</v>
      </c>
      <c r="BF49" s="73"/>
      <c r="BG49" s="89"/>
      <c r="BJ49" s="73"/>
      <c r="BK49" s="73"/>
      <c r="BL49" s="73"/>
      <c r="BM49" s="73"/>
      <c r="BN49" s="73"/>
      <c r="BO49" s="73"/>
      <c r="BP49" s="73" t="s">
        <v>38</v>
      </c>
      <c r="BQ49" s="89">
        <v>1000</v>
      </c>
    </row>
    <row r="50" spans="1:69" ht="12" customHeight="1" thickBot="1" x14ac:dyDescent="0.25">
      <c r="A50" s="73"/>
      <c r="B50" s="106"/>
      <c r="C50" s="106"/>
      <c r="D50" s="106"/>
      <c r="E50" s="106"/>
      <c r="F50" s="106"/>
      <c r="G50" s="107" t="s">
        <v>39</v>
      </c>
      <c r="H50" s="127">
        <v>1131.5</v>
      </c>
      <c r="I50" s="128">
        <v>912.45</v>
      </c>
      <c r="J50" s="128">
        <v>12</v>
      </c>
      <c r="K50" s="129">
        <f t="shared" si="23"/>
        <v>2055.9499999999998</v>
      </c>
      <c r="L50" s="130">
        <v>1500</v>
      </c>
      <c r="M50" s="131">
        <v>1000</v>
      </c>
      <c r="N50" s="132">
        <v>1500</v>
      </c>
      <c r="O50" s="133">
        <f t="shared" si="24"/>
        <v>-555.94999999999982</v>
      </c>
      <c r="P50" s="134">
        <f t="shared" si="25"/>
        <v>500</v>
      </c>
      <c r="R50" s="73"/>
      <c r="S50" s="89"/>
      <c r="U50" s="73"/>
      <c r="V50" s="73"/>
      <c r="W50" s="73"/>
      <c r="X50" s="73"/>
      <c r="Y50" s="73"/>
      <c r="Z50" s="73"/>
      <c r="AA50" s="73"/>
      <c r="AB50" s="73" t="s">
        <v>37</v>
      </c>
      <c r="AC50" s="89">
        <v>2335.75</v>
      </c>
      <c r="AE50" s="73"/>
      <c r="AF50" s="73"/>
      <c r="AG50" s="73"/>
      <c r="AH50" s="73"/>
      <c r="AI50" s="73"/>
      <c r="AJ50" s="73"/>
      <c r="AK50" s="73"/>
      <c r="AL50" s="73" t="s">
        <v>39</v>
      </c>
      <c r="AM50" s="135">
        <v>912.45</v>
      </c>
      <c r="AP50" s="73"/>
      <c r="AQ50" s="73"/>
      <c r="AR50" s="73"/>
      <c r="AS50" s="73"/>
      <c r="AT50" s="73"/>
      <c r="AU50" s="73"/>
      <c r="AV50" s="73" t="s">
        <v>39</v>
      </c>
      <c r="AW50" s="135">
        <v>12</v>
      </c>
      <c r="AY50" s="73"/>
      <c r="AZ50" s="73"/>
      <c r="BA50" s="73"/>
      <c r="BB50" s="73"/>
      <c r="BC50" s="73"/>
      <c r="BD50" s="73"/>
      <c r="BE50" s="73"/>
      <c r="BF50" s="73" t="s">
        <v>37</v>
      </c>
      <c r="BG50" s="89">
        <v>2900</v>
      </c>
      <c r="BJ50" s="73"/>
      <c r="BK50" s="73"/>
      <c r="BL50" s="73"/>
      <c r="BM50" s="73"/>
      <c r="BN50" s="73"/>
      <c r="BO50" s="73"/>
      <c r="BP50" s="73" t="s">
        <v>39</v>
      </c>
      <c r="BQ50" s="136">
        <v>1500</v>
      </c>
    </row>
    <row r="51" spans="1:69" ht="12" customHeight="1" x14ac:dyDescent="0.2">
      <c r="A51" s="73"/>
      <c r="B51" s="137"/>
      <c r="C51" s="137"/>
      <c r="D51" s="137"/>
      <c r="E51" s="137"/>
      <c r="F51" s="137" t="s">
        <v>40</v>
      </c>
      <c r="G51" s="137"/>
      <c r="H51" s="138">
        <f>ROUND(SUM(H47:H50),5)</f>
        <v>4185.62</v>
      </c>
      <c r="I51" s="139">
        <f t="shared" ref="I51:N51" si="26">ROUND(SUM(I47:I50),5)</f>
        <v>1656.46</v>
      </c>
      <c r="J51" s="139">
        <f t="shared" si="26"/>
        <v>130.83000000000001</v>
      </c>
      <c r="K51" s="139">
        <f t="shared" si="26"/>
        <v>5972.91</v>
      </c>
      <c r="L51" s="138">
        <f t="shared" si="26"/>
        <v>5500</v>
      </c>
      <c r="M51" s="139">
        <f t="shared" si="26"/>
        <v>4600</v>
      </c>
      <c r="N51" s="140">
        <f t="shared" si="26"/>
        <v>5500</v>
      </c>
      <c r="O51" s="139">
        <f t="shared" ref="O51" si="27">ROUND(SUM(O47:O50),5)</f>
        <v>-472.91</v>
      </c>
      <c r="P51" s="140">
        <f t="shared" ref="P51" si="28">ROUND(SUM(P47:P50),5)</f>
        <v>900</v>
      </c>
      <c r="R51" s="73"/>
      <c r="S51" s="89"/>
      <c r="U51" s="73"/>
      <c r="V51" s="73"/>
      <c r="W51" s="73"/>
      <c r="X51" s="73"/>
      <c r="Y51" s="73"/>
      <c r="Z51" s="73"/>
      <c r="AA51" s="73"/>
      <c r="AB51" s="73" t="s">
        <v>38</v>
      </c>
      <c r="AC51" s="89">
        <v>718.37</v>
      </c>
      <c r="AE51" s="73"/>
      <c r="AF51" s="73"/>
      <c r="AG51" s="73"/>
      <c r="AH51" s="73"/>
      <c r="AI51" s="73"/>
      <c r="AJ51" s="73"/>
      <c r="AK51" s="73" t="s">
        <v>40</v>
      </c>
      <c r="AL51" s="73"/>
      <c r="AM51" s="81">
        <f>ROUND(SUM(AM47:AM50),5)</f>
        <v>1656.46</v>
      </c>
      <c r="AP51" s="73"/>
      <c r="AQ51" s="73"/>
      <c r="AR51" s="73"/>
      <c r="AS51" s="73"/>
      <c r="AT51" s="73"/>
      <c r="AU51" s="73" t="s">
        <v>40</v>
      </c>
      <c r="AV51" s="73"/>
      <c r="AW51" s="81">
        <f>ROUND(SUM(AW47:AW50),5)</f>
        <v>130.83000000000001</v>
      </c>
      <c r="AY51" s="73"/>
      <c r="AZ51" s="73"/>
      <c r="BA51" s="73"/>
      <c r="BB51" s="73"/>
      <c r="BC51" s="73"/>
      <c r="BD51" s="73"/>
      <c r="BE51" s="73"/>
      <c r="BF51" s="73" t="s">
        <v>38</v>
      </c>
      <c r="BG51" s="89">
        <v>700</v>
      </c>
      <c r="BJ51" s="73"/>
      <c r="BK51" s="73"/>
      <c r="BL51" s="73"/>
      <c r="BM51" s="73"/>
      <c r="BN51" s="73"/>
      <c r="BO51" s="73" t="s">
        <v>40</v>
      </c>
      <c r="BP51" s="73"/>
      <c r="BQ51" s="89">
        <f>ROUND(SUM(BQ47:BQ50),5)</f>
        <v>5500</v>
      </c>
    </row>
    <row r="52" spans="1:69" ht="12" customHeight="1" thickBot="1" x14ac:dyDescent="0.25">
      <c r="A52" s="73"/>
      <c r="B52" s="73"/>
      <c r="C52" s="73"/>
      <c r="D52" s="73"/>
      <c r="E52" s="73"/>
      <c r="F52" s="73" t="s">
        <v>41</v>
      </c>
      <c r="G52" s="73"/>
      <c r="H52" s="122"/>
      <c r="I52" s="123"/>
      <c r="J52" s="123"/>
      <c r="K52" s="123"/>
      <c r="L52" s="122"/>
      <c r="M52" s="123"/>
      <c r="N52" s="124"/>
      <c r="O52" s="123"/>
      <c r="P52" s="124"/>
      <c r="R52" s="73"/>
      <c r="S52" s="89"/>
      <c r="U52" s="73"/>
      <c r="V52" s="73"/>
      <c r="W52" s="73"/>
      <c r="X52" s="73"/>
      <c r="Y52" s="73"/>
      <c r="Z52" s="73"/>
      <c r="AA52" s="73"/>
      <c r="AB52" s="73" t="s">
        <v>39</v>
      </c>
      <c r="AC52" s="136">
        <v>1131.5</v>
      </c>
      <c r="AE52" s="73"/>
      <c r="AF52" s="73"/>
      <c r="AG52" s="73"/>
      <c r="AH52" s="73"/>
      <c r="AI52" s="73"/>
      <c r="AJ52" s="73"/>
      <c r="AK52" s="73" t="s">
        <v>41</v>
      </c>
      <c r="AL52" s="73"/>
      <c r="AM52" s="81"/>
      <c r="AP52" s="73"/>
      <c r="AQ52" s="73"/>
      <c r="AR52" s="73"/>
      <c r="AS52" s="73"/>
      <c r="AT52" s="73"/>
      <c r="AU52" s="73" t="s">
        <v>41</v>
      </c>
      <c r="AV52" s="73"/>
      <c r="AW52" s="81"/>
      <c r="AY52" s="73"/>
      <c r="AZ52" s="73"/>
      <c r="BA52" s="73"/>
      <c r="BB52" s="73"/>
      <c r="BC52" s="73"/>
      <c r="BD52" s="73"/>
      <c r="BE52" s="73"/>
      <c r="BF52" s="73" t="s">
        <v>39</v>
      </c>
      <c r="BG52" s="136">
        <v>1000</v>
      </c>
      <c r="BJ52" s="73"/>
      <c r="BK52" s="73"/>
      <c r="BL52" s="73"/>
      <c r="BM52" s="73"/>
      <c r="BN52" s="73"/>
      <c r="BO52" s="73" t="s">
        <v>41</v>
      </c>
      <c r="BP52" s="73"/>
      <c r="BQ52" s="89"/>
    </row>
    <row r="53" spans="1:69" ht="12" customHeight="1" x14ac:dyDescent="0.2">
      <c r="A53" s="73"/>
      <c r="B53" s="73"/>
      <c r="C53" s="73"/>
      <c r="D53" s="73"/>
      <c r="E53" s="73"/>
      <c r="F53" s="73"/>
      <c r="G53" s="73" t="s">
        <v>42</v>
      </c>
      <c r="H53" s="96">
        <v>1795.64</v>
      </c>
      <c r="I53" s="97">
        <v>63.11</v>
      </c>
      <c r="J53" s="97">
        <v>10.84</v>
      </c>
      <c r="K53" s="98">
        <f t="shared" ref="K53:K60" si="29">SUM(H53:J53)</f>
        <v>1869.59</v>
      </c>
      <c r="L53" s="125">
        <v>1500</v>
      </c>
      <c r="M53" s="100">
        <v>1200</v>
      </c>
      <c r="N53" s="101">
        <v>2000</v>
      </c>
      <c r="O53" s="102">
        <f t="shared" ref="O53:O60" si="30">N53-K53</f>
        <v>130.41000000000008</v>
      </c>
      <c r="P53" s="103">
        <f t="shared" ref="P53:P60" si="31">N53-M53</f>
        <v>800</v>
      </c>
      <c r="R53" s="73"/>
      <c r="S53" s="89"/>
      <c r="U53" s="73"/>
      <c r="V53" s="73"/>
      <c r="W53" s="73"/>
      <c r="X53" s="73"/>
      <c r="Y53" s="73"/>
      <c r="Z53" s="73"/>
      <c r="AA53" s="73" t="s">
        <v>40</v>
      </c>
      <c r="AB53" s="73"/>
      <c r="AC53" s="89">
        <f>ROUND(SUM(AC49:AC52),5)</f>
        <v>4185.62</v>
      </c>
      <c r="AE53" s="73"/>
      <c r="AF53" s="73"/>
      <c r="AG53" s="73"/>
      <c r="AH53" s="73"/>
      <c r="AI53" s="73"/>
      <c r="AJ53" s="73"/>
      <c r="AK53" s="73"/>
      <c r="AL53" s="73" t="s">
        <v>42</v>
      </c>
      <c r="AM53" s="81">
        <v>63.11</v>
      </c>
      <c r="AP53" s="73"/>
      <c r="AQ53" s="73"/>
      <c r="AR53" s="73"/>
      <c r="AS53" s="73"/>
      <c r="AT53" s="73"/>
      <c r="AU53" s="73"/>
      <c r="AV53" s="73" t="s">
        <v>42</v>
      </c>
      <c r="AW53" s="81">
        <v>10.84</v>
      </c>
      <c r="AY53" s="73"/>
      <c r="AZ53" s="73"/>
      <c r="BA53" s="73"/>
      <c r="BB53" s="73"/>
      <c r="BC53" s="73"/>
      <c r="BD53" s="73"/>
      <c r="BE53" s="73" t="s">
        <v>40</v>
      </c>
      <c r="BF53" s="73"/>
      <c r="BG53" s="89">
        <f>ROUND(SUM(BG49:BG52),5)</f>
        <v>4600</v>
      </c>
      <c r="BJ53" s="73"/>
      <c r="BK53" s="73"/>
      <c r="BL53" s="73"/>
      <c r="BM53" s="73"/>
      <c r="BN53" s="73"/>
      <c r="BO53" s="73"/>
      <c r="BP53" s="73" t="s">
        <v>42</v>
      </c>
      <c r="BQ53" s="89">
        <v>1500</v>
      </c>
    </row>
    <row r="54" spans="1:69" ht="12" customHeight="1" x14ac:dyDescent="0.2">
      <c r="A54" s="73"/>
      <c r="B54" s="73"/>
      <c r="C54" s="73"/>
      <c r="D54" s="73"/>
      <c r="E54" s="73"/>
      <c r="F54" s="73"/>
      <c r="G54" s="73" t="s">
        <v>135</v>
      </c>
      <c r="H54" s="96">
        <v>739.36</v>
      </c>
      <c r="I54" s="97">
        <v>0</v>
      </c>
      <c r="J54" s="97">
        <v>15.16</v>
      </c>
      <c r="K54" s="98">
        <f t="shared" si="29"/>
        <v>754.52</v>
      </c>
      <c r="L54" s="125">
        <v>1000</v>
      </c>
      <c r="M54" s="100">
        <v>950</v>
      </c>
      <c r="N54" s="101">
        <v>800</v>
      </c>
      <c r="O54" s="102">
        <f t="shared" si="30"/>
        <v>45.480000000000018</v>
      </c>
      <c r="P54" s="103">
        <f t="shared" si="31"/>
        <v>-150</v>
      </c>
      <c r="R54" s="73"/>
      <c r="S54" s="89"/>
      <c r="U54" s="73"/>
      <c r="V54" s="73"/>
      <c r="W54" s="73"/>
      <c r="X54" s="73"/>
      <c r="Y54" s="73"/>
      <c r="Z54" s="73"/>
      <c r="AA54" s="73" t="s">
        <v>41</v>
      </c>
      <c r="AB54" s="73"/>
      <c r="AC54" s="89"/>
      <c r="AE54" s="73"/>
      <c r="AF54" s="73"/>
      <c r="AG54" s="73"/>
      <c r="AH54" s="73"/>
      <c r="AI54" s="73"/>
      <c r="AJ54" s="73"/>
      <c r="AK54" s="73"/>
      <c r="AL54" s="73" t="s">
        <v>133</v>
      </c>
      <c r="AM54" s="81">
        <v>0</v>
      </c>
      <c r="AP54" s="73"/>
      <c r="AQ54" s="73"/>
      <c r="AR54" s="73"/>
      <c r="AS54" s="73"/>
      <c r="AT54" s="73"/>
      <c r="AU54" s="73"/>
      <c r="AV54" s="73" t="s">
        <v>133</v>
      </c>
      <c r="AW54" s="81">
        <v>15.16</v>
      </c>
      <c r="AY54" s="73"/>
      <c r="AZ54" s="73"/>
      <c r="BA54" s="73"/>
      <c r="BB54" s="73"/>
      <c r="BC54" s="73"/>
      <c r="BD54" s="73"/>
      <c r="BE54" s="73" t="s">
        <v>41</v>
      </c>
      <c r="BF54" s="73"/>
      <c r="BG54" s="89"/>
      <c r="BJ54" s="73"/>
      <c r="BK54" s="73"/>
      <c r="BL54" s="73"/>
      <c r="BM54" s="73"/>
      <c r="BN54" s="73"/>
      <c r="BO54" s="73"/>
      <c r="BP54" s="73" t="s">
        <v>133</v>
      </c>
      <c r="BQ54" s="89">
        <v>1000</v>
      </c>
    </row>
    <row r="55" spans="1:69" ht="12" customHeight="1" x14ac:dyDescent="0.2">
      <c r="A55" s="73"/>
      <c r="B55" s="73"/>
      <c r="C55" s="73"/>
      <c r="D55" s="73"/>
      <c r="E55" s="73"/>
      <c r="F55" s="73"/>
      <c r="G55" s="73" t="s">
        <v>43</v>
      </c>
      <c r="H55" s="96">
        <v>2496</v>
      </c>
      <c r="I55" s="97">
        <v>12</v>
      </c>
      <c r="J55" s="97">
        <v>12</v>
      </c>
      <c r="K55" s="98">
        <f t="shared" si="29"/>
        <v>2520</v>
      </c>
      <c r="L55" s="125">
        <v>2300</v>
      </c>
      <c r="M55" s="100">
        <v>4185</v>
      </c>
      <c r="N55" s="101">
        <v>2600</v>
      </c>
      <c r="O55" s="102">
        <f t="shared" si="30"/>
        <v>80</v>
      </c>
      <c r="P55" s="103">
        <f t="shared" si="31"/>
        <v>-1585</v>
      </c>
      <c r="R55" s="104" t="s">
        <v>169</v>
      </c>
      <c r="S55" s="89"/>
      <c r="U55" s="73"/>
      <c r="V55" s="73"/>
      <c r="W55" s="73"/>
      <c r="X55" s="73"/>
      <c r="Y55" s="73"/>
      <c r="Z55" s="73"/>
      <c r="AA55" s="73"/>
      <c r="AB55" s="73" t="s">
        <v>42</v>
      </c>
      <c r="AC55" s="89">
        <v>1795.64</v>
      </c>
      <c r="AE55" s="73"/>
      <c r="AF55" s="73"/>
      <c r="AG55" s="73"/>
      <c r="AH55" s="73"/>
      <c r="AI55" s="73"/>
      <c r="AJ55" s="73"/>
      <c r="AK55" s="73"/>
      <c r="AL55" s="73" t="s">
        <v>43</v>
      </c>
      <c r="AM55" s="81">
        <v>12</v>
      </c>
      <c r="AP55" s="73"/>
      <c r="AQ55" s="73"/>
      <c r="AR55" s="73"/>
      <c r="AS55" s="73"/>
      <c r="AT55" s="73"/>
      <c r="AU55" s="73"/>
      <c r="AV55" s="73" t="s">
        <v>43</v>
      </c>
      <c r="AW55" s="81">
        <v>12</v>
      </c>
      <c r="AY55" s="73"/>
      <c r="AZ55" s="73"/>
      <c r="BA55" s="73"/>
      <c r="BB55" s="73"/>
      <c r="BC55" s="73"/>
      <c r="BD55" s="73"/>
      <c r="BE55" s="73"/>
      <c r="BF55" s="73" t="s">
        <v>42</v>
      </c>
      <c r="BG55" s="89">
        <v>1200</v>
      </c>
      <c r="BJ55" s="73"/>
      <c r="BK55" s="73"/>
      <c r="BL55" s="73"/>
      <c r="BM55" s="73"/>
      <c r="BN55" s="73"/>
      <c r="BO55" s="73"/>
      <c r="BP55" s="73" t="s">
        <v>43</v>
      </c>
      <c r="BQ55" s="89">
        <v>2300</v>
      </c>
    </row>
    <row r="56" spans="1:69" ht="12" customHeight="1" x14ac:dyDescent="0.2">
      <c r="A56" s="73"/>
      <c r="B56" s="73"/>
      <c r="C56" s="73"/>
      <c r="D56" s="73"/>
      <c r="E56" s="73"/>
      <c r="F56" s="73"/>
      <c r="G56" s="73" t="s">
        <v>44</v>
      </c>
      <c r="H56" s="96">
        <v>401.69</v>
      </c>
      <c r="I56" s="97">
        <v>0</v>
      </c>
      <c r="J56" s="97">
        <v>30.9</v>
      </c>
      <c r="K56" s="98">
        <f t="shared" si="29"/>
        <v>432.59</v>
      </c>
      <c r="L56" s="125">
        <v>500</v>
      </c>
      <c r="M56" s="100">
        <v>500</v>
      </c>
      <c r="N56" s="101">
        <v>500</v>
      </c>
      <c r="O56" s="102">
        <f t="shared" si="30"/>
        <v>67.410000000000025</v>
      </c>
      <c r="P56" s="103">
        <f t="shared" si="31"/>
        <v>0</v>
      </c>
      <c r="R56" s="104"/>
      <c r="S56" s="89"/>
      <c r="U56" s="73"/>
      <c r="V56" s="73"/>
      <c r="W56" s="73"/>
      <c r="X56" s="73"/>
      <c r="Y56" s="73"/>
      <c r="Z56" s="73"/>
      <c r="AA56" s="73"/>
      <c r="AB56" s="73" t="s">
        <v>133</v>
      </c>
      <c r="AC56" s="89">
        <v>739.36</v>
      </c>
      <c r="AE56" s="73"/>
      <c r="AF56" s="73"/>
      <c r="AG56" s="73"/>
      <c r="AH56" s="73"/>
      <c r="AI56" s="73"/>
      <c r="AJ56" s="73"/>
      <c r="AK56" s="73"/>
      <c r="AL56" s="73" t="s">
        <v>44</v>
      </c>
      <c r="AM56" s="81">
        <v>0</v>
      </c>
      <c r="AP56" s="73"/>
      <c r="AQ56" s="73"/>
      <c r="AR56" s="73"/>
      <c r="AS56" s="73"/>
      <c r="AT56" s="73"/>
      <c r="AU56" s="73"/>
      <c r="AV56" s="73" t="s">
        <v>44</v>
      </c>
      <c r="AW56" s="81">
        <v>30.9</v>
      </c>
      <c r="AY56" s="73"/>
      <c r="AZ56" s="73"/>
      <c r="BA56" s="73"/>
      <c r="BB56" s="73"/>
      <c r="BC56" s="73"/>
      <c r="BD56" s="73"/>
      <c r="BE56" s="73"/>
      <c r="BF56" s="73" t="s">
        <v>133</v>
      </c>
      <c r="BG56" s="89">
        <v>950</v>
      </c>
      <c r="BJ56" s="73"/>
      <c r="BK56" s="73"/>
      <c r="BL56" s="73"/>
      <c r="BM56" s="73"/>
      <c r="BN56" s="73"/>
      <c r="BO56" s="73"/>
      <c r="BP56" s="73" t="s">
        <v>44</v>
      </c>
      <c r="BQ56" s="89">
        <v>500</v>
      </c>
    </row>
    <row r="57" spans="1:69" ht="12" customHeight="1" x14ac:dyDescent="0.2">
      <c r="A57" s="73"/>
      <c r="B57" s="73"/>
      <c r="C57" s="73"/>
      <c r="D57" s="73"/>
      <c r="E57" s="73"/>
      <c r="F57" s="73"/>
      <c r="G57" s="73" t="s">
        <v>136</v>
      </c>
      <c r="H57" s="96">
        <v>-351.66</v>
      </c>
      <c r="I57" s="97">
        <v>29.99</v>
      </c>
      <c r="J57" s="97">
        <v>775.83</v>
      </c>
      <c r="K57" s="98">
        <f t="shared" si="29"/>
        <v>454.16</v>
      </c>
      <c r="L57" s="125">
        <v>1000</v>
      </c>
      <c r="M57" s="100">
        <v>2000</v>
      </c>
      <c r="N57" s="101">
        <v>1000</v>
      </c>
      <c r="O57" s="102">
        <f t="shared" si="30"/>
        <v>545.83999999999992</v>
      </c>
      <c r="P57" s="103">
        <f t="shared" si="31"/>
        <v>-1000</v>
      </c>
      <c r="R57" s="104" t="s">
        <v>170</v>
      </c>
      <c r="S57" s="89"/>
      <c r="U57" s="73"/>
      <c r="V57" s="73"/>
      <c r="W57" s="73"/>
      <c r="X57" s="73"/>
      <c r="Y57" s="73"/>
      <c r="Z57" s="73"/>
      <c r="AA57" s="73"/>
      <c r="AB57" s="73" t="s">
        <v>43</v>
      </c>
      <c r="AC57" s="89">
        <v>2496</v>
      </c>
      <c r="AE57" s="73"/>
      <c r="AF57" s="73"/>
      <c r="AG57" s="73"/>
      <c r="AH57" s="73"/>
      <c r="AI57" s="73"/>
      <c r="AJ57" s="73"/>
      <c r="AK57" s="73"/>
      <c r="AL57" s="73" t="s">
        <v>134</v>
      </c>
      <c r="AM57" s="81">
        <v>29.99</v>
      </c>
      <c r="AP57" s="73"/>
      <c r="AQ57" s="73"/>
      <c r="AR57" s="73"/>
      <c r="AS57" s="73"/>
      <c r="AT57" s="73"/>
      <c r="AU57" s="73"/>
      <c r="AV57" s="73" t="s">
        <v>134</v>
      </c>
      <c r="AW57" s="81">
        <v>775.83</v>
      </c>
      <c r="AY57" s="73"/>
      <c r="AZ57" s="73"/>
      <c r="BA57" s="73"/>
      <c r="BB57" s="73"/>
      <c r="BC57" s="73"/>
      <c r="BD57" s="73"/>
      <c r="BE57" s="73"/>
      <c r="BF57" s="73" t="s">
        <v>43</v>
      </c>
      <c r="BG57" s="89">
        <v>4185</v>
      </c>
      <c r="BJ57" s="73"/>
      <c r="BK57" s="73"/>
      <c r="BL57" s="73"/>
      <c r="BM57" s="73"/>
      <c r="BN57" s="73"/>
      <c r="BO57" s="73"/>
      <c r="BP57" s="73" t="s">
        <v>134</v>
      </c>
      <c r="BQ57" s="89">
        <v>1000</v>
      </c>
    </row>
    <row r="58" spans="1:69" ht="12" customHeight="1" x14ac:dyDescent="0.2">
      <c r="A58" s="73"/>
      <c r="B58" s="73"/>
      <c r="C58" s="73"/>
      <c r="D58" s="73"/>
      <c r="E58" s="73"/>
      <c r="F58" s="73"/>
      <c r="G58" s="73" t="s">
        <v>45</v>
      </c>
      <c r="H58" s="96">
        <v>148.84</v>
      </c>
      <c r="I58" s="97">
        <v>240</v>
      </c>
      <c r="J58" s="97">
        <v>-60</v>
      </c>
      <c r="K58" s="98">
        <f t="shared" si="29"/>
        <v>328.84000000000003</v>
      </c>
      <c r="L58" s="125">
        <v>800</v>
      </c>
      <c r="M58" s="100">
        <v>760</v>
      </c>
      <c r="N58" s="101">
        <v>500</v>
      </c>
      <c r="O58" s="102">
        <f t="shared" si="30"/>
        <v>171.15999999999997</v>
      </c>
      <c r="P58" s="103">
        <f t="shared" si="31"/>
        <v>-260</v>
      </c>
      <c r="R58" s="73"/>
      <c r="S58" s="89"/>
      <c r="U58" s="73"/>
      <c r="V58" s="73"/>
      <c r="W58" s="73"/>
      <c r="X58" s="73"/>
      <c r="Y58" s="73"/>
      <c r="Z58" s="73"/>
      <c r="AA58" s="73"/>
      <c r="AB58" s="73" t="s">
        <v>44</v>
      </c>
      <c r="AC58" s="89">
        <v>401.69</v>
      </c>
      <c r="AE58" s="73"/>
      <c r="AF58" s="73"/>
      <c r="AG58" s="73"/>
      <c r="AH58" s="73"/>
      <c r="AI58" s="73"/>
      <c r="AJ58" s="73"/>
      <c r="AK58" s="73"/>
      <c r="AL58" s="73" t="s">
        <v>45</v>
      </c>
      <c r="AM58" s="81">
        <v>240</v>
      </c>
      <c r="AP58" s="73"/>
      <c r="AQ58" s="73"/>
      <c r="AR58" s="73"/>
      <c r="AS58" s="73"/>
      <c r="AT58" s="73"/>
      <c r="AU58" s="73"/>
      <c r="AV58" s="73" t="s">
        <v>45</v>
      </c>
      <c r="AW58" s="81">
        <v>-60</v>
      </c>
      <c r="AY58" s="73"/>
      <c r="AZ58" s="73"/>
      <c r="BA58" s="73"/>
      <c r="BB58" s="73"/>
      <c r="BC58" s="73"/>
      <c r="BD58" s="73"/>
      <c r="BE58" s="73"/>
      <c r="BF58" s="73" t="s">
        <v>44</v>
      </c>
      <c r="BG58" s="89">
        <v>500</v>
      </c>
      <c r="BJ58" s="73"/>
      <c r="BK58" s="73"/>
      <c r="BL58" s="73"/>
      <c r="BM58" s="73"/>
      <c r="BN58" s="73"/>
      <c r="BO58" s="73"/>
      <c r="BP58" s="73" t="s">
        <v>45</v>
      </c>
      <c r="BQ58" s="89">
        <v>800</v>
      </c>
    </row>
    <row r="59" spans="1:69" ht="12" customHeight="1" thickBot="1" x14ac:dyDescent="0.25">
      <c r="A59" s="73"/>
      <c r="B59" s="73"/>
      <c r="C59" s="73"/>
      <c r="D59" s="73"/>
      <c r="E59" s="73"/>
      <c r="F59" s="73"/>
      <c r="G59" s="73" t="s">
        <v>138</v>
      </c>
      <c r="H59" s="96">
        <v>169.09</v>
      </c>
      <c r="I59" s="97">
        <v>0</v>
      </c>
      <c r="J59" s="97">
        <v>238.66</v>
      </c>
      <c r="K59" s="98">
        <f t="shared" si="29"/>
        <v>407.75</v>
      </c>
      <c r="L59" s="125">
        <v>750</v>
      </c>
      <c r="M59" s="100">
        <v>780</v>
      </c>
      <c r="N59" s="101">
        <v>500</v>
      </c>
      <c r="O59" s="102">
        <f t="shared" si="30"/>
        <v>92.25</v>
      </c>
      <c r="P59" s="103">
        <f t="shared" si="31"/>
        <v>-280</v>
      </c>
      <c r="R59" s="73"/>
      <c r="S59" s="89"/>
      <c r="U59" s="73"/>
      <c r="V59" s="73"/>
      <c r="W59" s="73"/>
      <c r="X59" s="73"/>
      <c r="Y59" s="73"/>
      <c r="Z59" s="73"/>
      <c r="AA59" s="73"/>
      <c r="AB59" s="73" t="s">
        <v>134</v>
      </c>
      <c r="AC59" s="89">
        <v>-351.66</v>
      </c>
      <c r="AE59" s="73"/>
      <c r="AF59" s="73"/>
      <c r="AG59" s="73"/>
      <c r="AH59" s="73"/>
      <c r="AI59" s="73"/>
      <c r="AJ59" s="73"/>
      <c r="AK59" s="73"/>
      <c r="AL59" s="73" t="s">
        <v>131</v>
      </c>
      <c r="AM59" s="135">
        <v>0</v>
      </c>
      <c r="AP59" s="73"/>
      <c r="AQ59" s="73"/>
      <c r="AR59" s="73"/>
      <c r="AS59" s="73"/>
      <c r="AT59" s="73"/>
      <c r="AU59" s="73"/>
      <c r="AV59" s="73" t="s">
        <v>131</v>
      </c>
      <c r="AW59" s="135">
        <v>238.66</v>
      </c>
      <c r="AY59" s="73"/>
      <c r="AZ59" s="73"/>
      <c r="BA59" s="73"/>
      <c r="BB59" s="73"/>
      <c r="BC59" s="73"/>
      <c r="BD59" s="73"/>
      <c r="BE59" s="73"/>
      <c r="BF59" s="73" t="s">
        <v>134</v>
      </c>
      <c r="BG59" s="89">
        <v>2000</v>
      </c>
      <c r="BJ59" s="73"/>
      <c r="BK59" s="73"/>
      <c r="BL59" s="73"/>
      <c r="BM59" s="73"/>
      <c r="BN59" s="73"/>
      <c r="BO59" s="73"/>
      <c r="BP59" s="73" t="s">
        <v>131</v>
      </c>
      <c r="BQ59" s="136">
        <v>750</v>
      </c>
    </row>
    <row r="60" spans="1:69" ht="12" customHeight="1" thickBot="1" x14ac:dyDescent="0.25">
      <c r="A60" s="73"/>
      <c r="B60" s="106"/>
      <c r="C60" s="106"/>
      <c r="D60" s="106" t="s">
        <v>167</v>
      </c>
      <c r="E60" s="106"/>
      <c r="F60" s="106"/>
      <c r="G60" s="107" t="s">
        <v>137</v>
      </c>
      <c r="H60" s="127">
        <v>219.77</v>
      </c>
      <c r="I60" s="128"/>
      <c r="J60" s="128"/>
      <c r="K60" s="129">
        <f t="shared" si="29"/>
        <v>219.77</v>
      </c>
      <c r="L60" s="130"/>
      <c r="M60" s="131">
        <v>1200</v>
      </c>
      <c r="N60" s="132">
        <v>600</v>
      </c>
      <c r="O60" s="133">
        <f t="shared" si="30"/>
        <v>380.23</v>
      </c>
      <c r="P60" s="134">
        <f t="shared" si="31"/>
        <v>-600</v>
      </c>
      <c r="R60" s="73"/>
      <c r="S60" s="89"/>
      <c r="U60" s="73"/>
      <c r="V60" s="73"/>
      <c r="W60" s="73"/>
      <c r="X60" s="73"/>
      <c r="Y60" s="73"/>
      <c r="Z60" s="73"/>
      <c r="AA60" s="73"/>
      <c r="AB60" s="73" t="s">
        <v>45</v>
      </c>
      <c r="AC60" s="89">
        <v>148.84</v>
      </c>
      <c r="AE60" s="73"/>
      <c r="AF60" s="73"/>
      <c r="AG60" s="73"/>
      <c r="AH60" s="73"/>
      <c r="AI60" s="73"/>
      <c r="AJ60" s="73"/>
      <c r="AK60" s="73" t="s">
        <v>46</v>
      </c>
      <c r="AL60" s="73"/>
      <c r="AM60" s="81">
        <f>ROUND(SUM(AM52:AM59),5)</f>
        <v>345.1</v>
      </c>
      <c r="AP60" s="73"/>
      <c r="AQ60" s="73"/>
      <c r="AR60" s="73"/>
      <c r="AS60" s="73"/>
      <c r="AT60" s="73"/>
      <c r="AU60" s="73" t="s">
        <v>46</v>
      </c>
      <c r="AV60" s="73"/>
      <c r="AW60" s="81">
        <f>ROUND(SUM(AW52:AW59),5)</f>
        <v>1023.39</v>
      </c>
      <c r="AY60" s="73"/>
      <c r="AZ60" s="73"/>
      <c r="BA60" s="73"/>
      <c r="BB60" s="73"/>
      <c r="BC60" s="73"/>
      <c r="BD60" s="73"/>
      <c r="BE60" s="73"/>
      <c r="BF60" s="73" t="s">
        <v>45</v>
      </c>
      <c r="BG60" s="89">
        <v>760</v>
      </c>
      <c r="BJ60" s="73"/>
      <c r="BK60" s="73"/>
      <c r="BL60" s="73"/>
      <c r="BM60" s="73"/>
      <c r="BN60" s="73"/>
      <c r="BO60" s="73" t="s">
        <v>46</v>
      </c>
      <c r="BP60" s="73"/>
      <c r="BQ60" s="89">
        <f>ROUND(SUM(BQ52:BQ59),5)</f>
        <v>7850</v>
      </c>
    </row>
    <row r="61" spans="1:69" ht="12" customHeight="1" x14ac:dyDescent="0.2">
      <c r="A61" s="73"/>
      <c r="B61" s="137"/>
      <c r="C61" s="137"/>
      <c r="D61" s="137"/>
      <c r="E61" s="137"/>
      <c r="F61" s="137" t="s">
        <v>46</v>
      </c>
      <c r="G61" s="137"/>
      <c r="H61" s="138">
        <f>ROUND(SUM(H52:H60),5)</f>
        <v>5618.73</v>
      </c>
      <c r="I61" s="139">
        <f t="shared" ref="I61:N61" si="32">ROUND(SUM(I52:I60),5)</f>
        <v>345.1</v>
      </c>
      <c r="J61" s="139">
        <f t="shared" si="32"/>
        <v>1023.39</v>
      </c>
      <c r="K61" s="139">
        <f t="shared" si="32"/>
        <v>6987.22</v>
      </c>
      <c r="L61" s="138">
        <f t="shared" si="32"/>
        <v>7850</v>
      </c>
      <c r="M61" s="139">
        <f t="shared" si="32"/>
        <v>11575</v>
      </c>
      <c r="N61" s="140">
        <f t="shared" si="32"/>
        <v>8500</v>
      </c>
      <c r="O61" s="139">
        <f t="shared" ref="O61" si="33">ROUND(SUM(O52:O60),5)</f>
        <v>1512.78</v>
      </c>
      <c r="P61" s="140">
        <f t="shared" ref="P61" si="34">ROUND(SUM(P52:P60),5)</f>
        <v>-3075</v>
      </c>
      <c r="R61" s="73"/>
      <c r="S61" s="89"/>
      <c r="U61" s="73"/>
      <c r="V61" s="73"/>
      <c r="W61" s="73"/>
      <c r="X61" s="73"/>
      <c r="Y61" s="73"/>
      <c r="Z61" s="73"/>
      <c r="AA61" s="73"/>
      <c r="AB61" s="73" t="s">
        <v>131</v>
      </c>
      <c r="AC61" s="89">
        <v>169.09</v>
      </c>
      <c r="AE61" s="73"/>
      <c r="AF61" s="73"/>
      <c r="AG61" s="73"/>
      <c r="AH61" s="73"/>
      <c r="AI61" s="73"/>
      <c r="AJ61" s="73"/>
      <c r="AK61" s="73" t="s">
        <v>47</v>
      </c>
      <c r="AL61" s="73"/>
      <c r="AM61" s="81"/>
      <c r="AP61" s="73"/>
      <c r="AQ61" s="73"/>
      <c r="AR61" s="73"/>
      <c r="AS61" s="73"/>
      <c r="AT61" s="73"/>
      <c r="AU61" s="73" t="s">
        <v>47</v>
      </c>
      <c r="AV61" s="73"/>
      <c r="AW61" s="81"/>
      <c r="AY61" s="73"/>
      <c r="AZ61" s="73"/>
      <c r="BA61" s="73"/>
      <c r="BB61" s="73"/>
      <c r="BC61" s="73"/>
      <c r="BD61" s="73"/>
      <c r="BE61" s="73"/>
      <c r="BF61" s="73" t="s">
        <v>131</v>
      </c>
      <c r="BG61" s="89">
        <v>780</v>
      </c>
      <c r="BJ61" s="73"/>
      <c r="BK61" s="73"/>
      <c r="BL61" s="73"/>
      <c r="BM61" s="73"/>
      <c r="BN61" s="73"/>
      <c r="BO61" s="73" t="s">
        <v>47</v>
      </c>
      <c r="BP61" s="73"/>
      <c r="BQ61" s="89"/>
    </row>
    <row r="62" spans="1:69" ht="12" customHeight="1" thickBot="1" x14ac:dyDescent="0.25">
      <c r="A62" s="73"/>
      <c r="B62" s="73"/>
      <c r="C62" s="73"/>
      <c r="D62" s="73"/>
      <c r="E62" s="73"/>
      <c r="F62" s="73" t="s">
        <v>47</v>
      </c>
      <c r="G62" s="73"/>
      <c r="H62" s="122"/>
      <c r="I62" s="123"/>
      <c r="J62" s="123"/>
      <c r="K62" s="123"/>
      <c r="L62" s="122"/>
      <c r="M62" s="123"/>
      <c r="N62" s="124"/>
      <c r="O62" s="123"/>
      <c r="P62" s="124"/>
      <c r="R62" s="73"/>
      <c r="S62" s="89"/>
      <c r="U62" s="73"/>
      <c r="V62" s="73"/>
      <c r="W62" s="73"/>
      <c r="X62" s="73"/>
      <c r="Y62" s="73"/>
      <c r="Z62" s="73"/>
      <c r="AA62" s="73"/>
      <c r="AB62" s="73" t="s">
        <v>122</v>
      </c>
      <c r="AC62" s="136">
        <v>219.77</v>
      </c>
      <c r="AE62" s="73"/>
      <c r="AF62" s="73"/>
      <c r="AG62" s="73"/>
      <c r="AH62" s="73"/>
      <c r="AI62" s="73"/>
      <c r="AJ62" s="73"/>
      <c r="AK62" s="73"/>
      <c r="AL62" s="73" t="s">
        <v>48</v>
      </c>
      <c r="AM62" s="81">
        <v>1434.77</v>
      </c>
      <c r="AP62" s="73"/>
      <c r="AQ62" s="73"/>
      <c r="AR62" s="73"/>
      <c r="AS62" s="73"/>
      <c r="AT62" s="73"/>
      <c r="AU62" s="73"/>
      <c r="AV62" s="73" t="s">
        <v>48</v>
      </c>
      <c r="AW62" s="81">
        <v>1420.77</v>
      </c>
      <c r="AY62" s="73"/>
      <c r="AZ62" s="73"/>
      <c r="BA62" s="73"/>
      <c r="BB62" s="73"/>
      <c r="BC62" s="73"/>
      <c r="BD62" s="73"/>
      <c r="BE62" s="73"/>
      <c r="BF62" s="73" t="s">
        <v>122</v>
      </c>
      <c r="BG62" s="136">
        <v>1200</v>
      </c>
      <c r="BJ62" s="73"/>
      <c r="BK62" s="73"/>
      <c r="BL62" s="73"/>
      <c r="BM62" s="73"/>
      <c r="BN62" s="73"/>
      <c r="BO62" s="73"/>
      <c r="BP62" s="73" t="s">
        <v>48</v>
      </c>
      <c r="BQ62" s="89">
        <v>71198</v>
      </c>
    </row>
    <row r="63" spans="1:69" ht="12" customHeight="1" thickBot="1" x14ac:dyDescent="0.25">
      <c r="A63" s="73"/>
      <c r="B63" s="73"/>
      <c r="C63" s="73"/>
      <c r="D63" s="73"/>
      <c r="E63" s="73"/>
      <c r="F63" s="73"/>
      <c r="G63" s="73" t="s">
        <v>48</v>
      </c>
      <c r="H63" s="96">
        <v>59331.5</v>
      </c>
      <c r="I63" s="97">
        <v>5933.15</v>
      </c>
      <c r="J63" s="97">
        <v>5933.15</v>
      </c>
      <c r="K63" s="98">
        <f t="shared" ref="K63:K65" si="35">SUM(H63:J63)</f>
        <v>71197.8</v>
      </c>
      <c r="L63" s="125">
        <v>71198</v>
      </c>
      <c r="M63" s="100">
        <v>71198</v>
      </c>
      <c r="N63" s="101">
        <v>71198</v>
      </c>
      <c r="O63" s="102">
        <f t="shared" ref="O63:O65" si="36">N63-K63</f>
        <v>0.19999999999708962</v>
      </c>
      <c r="P63" s="103">
        <f t="shared" ref="P63:P65" si="37">N63-M63</f>
        <v>0</v>
      </c>
      <c r="R63" s="73"/>
      <c r="S63" s="89"/>
      <c r="U63" s="73"/>
      <c r="V63" s="73"/>
      <c r="W63" s="73"/>
      <c r="X63" s="73"/>
      <c r="Y63" s="73"/>
      <c r="Z63" s="73"/>
      <c r="AA63" s="73" t="s">
        <v>46</v>
      </c>
      <c r="AB63" s="73"/>
      <c r="AC63" s="89">
        <f>ROUND(SUM(AC54:AC62),5)</f>
        <v>5618.73</v>
      </c>
      <c r="AE63" s="73"/>
      <c r="AF63" s="73"/>
      <c r="AG63" s="73"/>
      <c r="AH63" s="73"/>
      <c r="AI63" s="73"/>
      <c r="AJ63" s="73"/>
      <c r="AK63" s="73"/>
      <c r="AL63" s="73" t="s">
        <v>117</v>
      </c>
      <c r="AM63" s="81">
        <v>72</v>
      </c>
      <c r="AP63" s="73"/>
      <c r="AQ63" s="73"/>
      <c r="AR63" s="73"/>
      <c r="AS63" s="73"/>
      <c r="AT63" s="73"/>
      <c r="AU63" s="73"/>
      <c r="AV63" s="73" t="s">
        <v>117</v>
      </c>
      <c r="AW63" s="81">
        <v>73.48</v>
      </c>
      <c r="AY63" s="73"/>
      <c r="AZ63" s="73"/>
      <c r="BA63" s="73"/>
      <c r="BB63" s="73"/>
      <c r="BC63" s="73"/>
      <c r="BD63" s="73"/>
      <c r="BE63" s="73" t="s">
        <v>46</v>
      </c>
      <c r="BF63" s="73"/>
      <c r="BG63" s="89">
        <f>ROUND(SUM(BG54:BG62),5)</f>
        <v>11575</v>
      </c>
      <c r="BJ63" s="73"/>
      <c r="BK63" s="73"/>
      <c r="BL63" s="73"/>
      <c r="BM63" s="73"/>
      <c r="BN63" s="73"/>
      <c r="BO63" s="73"/>
      <c r="BP63" s="73" t="s">
        <v>117</v>
      </c>
      <c r="BQ63" s="89">
        <v>600</v>
      </c>
    </row>
    <row r="64" spans="1:69" ht="12" customHeight="1" thickBot="1" x14ac:dyDescent="0.25">
      <c r="A64" s="73"/>
      <c r="B64" s="73"/>
      <c r="C64" s="73"/>
      <c r="D64" s="73"/>
      <c r="E64" s="73"/>
      <c r="F64" s="73"/>
      <c r="G64" s="73" t="s">
        <v>102</v>
      </c>
      <c r="H64" s="96"/>
      <c r="I64" s="97"/>
      <c r="J64" s="97"/>
      <c r="K64" s="98"/>
      <c r="L64" s="125"/>
      <c r="M64" s="100"/>
      <c r="N64" s="101">
        <f>21400+4.6</f>
        <v>21404.6</v>
      </c>
      <c r="O64" s="102"/>
      <c r="P64" s="103"/>
      <c r="R64" s="73"/>
      <c r="S64" s="89"/>
      <c r="U64" s="73"/>
      <c r="V64" s="73"/>
      <c r="W64" s="73"/>
      <c r="X64" s="73"/>
      <c r="Y64" s="73"/>
      <c r="Z64" s="73"/>
      <c r="AA64" s="73" t="s">
        <v>47</v>
      </c>
      <c r="AB64" s="73"/>
      <c r="AC64" s="89"/>
      <c r="AE64" s="73"/>
      <c r="AF64" s="73"/>
      <c r="AG64" s="73"/>
      <c r="AH64" s="73"/>
      <c r="AI64" s="73"/>
      <c r="AJ64" s="73"/>
      <c r="AK64" s="73" t="s">
        <v>49</v>
      </c>
      <c r="AL64" s="73"/>
      <c r="AM64" s="115">
        <f>ROUND(SUM(AM61:AM63),5)</f>
        <v>1506.77</v>
      </c>
      <c r="AP64" s="73"/>
      <c r="AQ64" s="73"/>
      <c r="AR64" s="73"/>
      <c r="AS64" s="73"/>
      <c r="AT64" s="73"/>
      <c r="AU64" s="73" t="s">
        <v>49</v>
      </c>
      <c r="AV64" s="73"/>
      <c r="AW64" s="115">
        <f>ROUND(SUM(AW61:AW63),5)</f>
        <v>1494.25</v>
      </c>
      <c r="AY64" s="73"/>
      <c r="AZ64" s="73"/>
      <c r="BA64" s="73"/>
      <c r="BB64" s="73"/>
      <c r="BC64" s="73"/>
      <c r="BD64" s="73"/>
      <c r="BE64" s="73" t="s">
        <v>47</v>
      </c>
      <c r="BF64" s="73"/>
      <c r="BG64" s="89"/>
      <c r="BJ64" s="73"/>
      <c r="BK64" s="73"/>
      <c r="BL64" s="73"/>
      <c r="BM64" s="73"/>
      <c r="BN64" s="73"/>
      <c r="BO64" s="73" t="s">
        <v>49</v>
      </c>
      <c r="BP64" s="73"/>
      <c r="BQ64" s="116">
        <f>ROUND(SUM(BQ61:BQ63),5)</f>
        <v>71798</v>
      </c>
    </row>
    <row r="65" spans="1:69" ht="12" customHeight="1" thickBot="1" x14ac:dyDescent="0.25">
      <c r="A65" s="73"/>
      <c r="B65" s="106"/>
      <c r="C65" s="106"/>
      <c r="D65" s="106"/>
      <c r="E65" s="106"/>
      <c r="F65" s="106"/>
      <c r="G65" s="107" t="s">
        <v>103</v>
      </c>
      <c r="H65" s="96">
        <v>288.92</v>
      </c>
      <c r="I65" s="97">
        <v>72</v>
      </c>
      <c r="J65" s="97">
        <v>73.48</v>
      </c>
      <c r="K65" s="98">
        <f t="shared" si="35"/>
        <v>434.40000000000003</v>
      </c>
      <c r="L65" s="125">
        <v>600</v>
      </c>
      <c r="M65" s="100">
        <v>700</v>
      </c>
      <c r="N65" s="101">
        <v>500</v>
      </c>
      <c r="O65" s="133">
        <f t="shared" si="36"/>
        <v>65.599999999999966</v>
      </c>
      <c r="P65" s="134">
        <f t="shared" si="37"/>
        <v>-200</v>
      </c>
      <c r="R65" s="73"/>
      <c r="S65" s="89"/>
      <c r="U65" s="73"/>
      <c r="V65" s="73"/>
      <c r="W65" s="73"/>
      <c r="X65" s="73"/>
      <c r="Y65" s="73"/>
      <c r="Z65" s="73"/>
      <c r="AA65" s="73"/>
      <c r="AB65" s="73" t="s">
        <v>48</v>
      </c>
      <c r="AC65" s="89">
        <v>13480.17</v>
      </c>
      <c r="AE65" s="73"/>
      <c r="AF65" s="73"/>
      <c r="AG65" s="73"/>
      <c r="AH65" s="73"/>
      <c r="AI65" s="73"/>
      <c r="AJ65" s="73" t="s">
        <v>50</v>
      </c>
      <c r="AK65" s="73"/>
      <c r="AL65" s="73"/>
      <c r="AM65" s="81">
        <f>ROUND(AM18+AM36+AM46+AM51+AM60+AM64,5)</f>
        <v>57442.8</v>
      </c>
      <c r="AP65" s="73"/>
      <c r="AQ65" s="73"/>
      <c r="AR65" s="73"/>
      <c r="AS65" s="73"/>
      <c r="AT65" s="73" t="s">
        <v>50</v>
      </c>
      <c r="AU65" s="73"/>
      <c r="AV65" s="73"/>
      <c r="AW65" s="81">
        <f>ROUND(AW18+AW36+AW46+AW51+AW60+AW64,5)</f>
        <v>44469.7</v>
      </c>
      <c r="AY65" s="73"/>
      <c r="AZ65" s="73"/>
      <c r="BA65" s="73"/>
      <c r="BB65" s="73"/>
      <c r="BC65" s="73"/>
      <c r="BD65" s="73"/>
      <c r="BE65" s="73"/>
      <c r="BF65" s="73" t="s">
        <v>48</v>
      </c>
      <c r="BG65" s="89">
        <v>71198</v>
      </c>
      <c r="BJ65" s="73"/>
      <c r="BK65" s="73"/>
      <c r="BL65" s="73"/>
      <c r="BM65" s="73"/>
      <c r="BN65" s="73" t="s">
        <v>50</v>
      </c>
      <c r="BO65" s="73"/>
      <c r="BP65" s="73"/>
      <c r="BQ65" s="89">
        <f>ROUND(BQ18+BQ36+BQ46+BQ51+BQ60+BQ64,5)</f>
        <v>669191</v>
      </c>
    </row>
    <row r="66" spans="1:69" ht="12" customHeight="1" thickBot="1" x14ac:dyDescent="0.25">
      <c r="A66" s="73"/>
      <c r="B66" s="110"/>
      <c r="C66" s="110"/>
      <c r="D66" s="110"/>
      <c r="E66" s="110"/>
      <c r="F66" s="110" t="s">
        <v>49</v>
      </c>
      <c r="G66" s="111"/>
      <c r="H66" s="141">
        <f>ROUND(SUM(H62:H65),5)</f>
        <v>59620.42</v>
      </c>
      <c r="I66" s="142">
        <f t="shared" ref="I66:P66" si="38">ROUND(SUM(I62:I65),5)</f>
        <v>6005.15</v>
      </c>
      <c r="J66" s="142">
        <f t="shared" si="38"/>
        <v>6006.63</v>
      </c>
      <c r="K66" s="142">
        <f t="shared" si="38"/>
        <v>71632.2</v>
      </c>
      <c r="L66" s="141">
        <f t="shared" si="38"/>
        <v>71798</v>
      </c>
      <c r="M66" s="142">
        <f t="shared" si="38"/>
        <v>71898</v>
      </c>
      <c r="N66" s="143">
        <f t="shared" si="38"/>
        <v>93102.6</v>
      </c>
      <c r="O66" s="142">
        <f t="shared" si="38"/>
        <v>65.8</v>
      </c>
      <c r="P66" s="143">
        <f t="shared" si="38"/>
        <v>-200</v>
      </c>
      <c r="R66" s="73"/>
      <c r="S66" s="89"/>
      <c r="U66" s="73"/>
      <c r="V66" s="73"/>
      <c r="W66" s="73"/>
      <c r="X66" s="73"/>
      <c r="Y66" s="73"/>
      <c r="Z66" s="73"/>
      <c r="AA66" s="73"/>
      <c r="AB66" s="73" t="s">
        <v>117</v>
      </c>
      <c r="AC66" s="89">
        <v>288.92</v>
      </c>
      <c r="AE66" s="73"/>
      <c r="AF66" s="73"/>
      <c r="AG66" s="73"/>
      <c r="AH66" s="73"/>
      <c r="AI66" s="73"/>
      <c r="AJ66" s="73" t="s">
        <v>51</v>
      </c>
      <c r="AK66" s="73"/>
      <c r="AL66" s="73"/>
      <c r="AM66" s="81"/>
      <c r="AP66" s="73"/>
      <c r="AQ66" s="73"/>
      <c r="AR66" s="73"/>
      <c r="AS66" s="73"/>
      <c r="AT66" s="73" t="s">
        <v>51</v>
      </c>
      <c r="AU66" s="73"/>
      <c r="AV66" s="73"/>
      <c r="AW66" s="81"/>
      <c r="AY66" s="73"/>
      <c r="AZ66" s="73"/>
      <c r="BA66" s="73"/>
      <c r="BB66" s="73"/>
      <c r="BC66" s="73"/>
      <c r="BD66" s="73"/>
      <c r="BE66" s="73"/>
      <c r="BF66" s="73" t="s">
        <v>117</v>
      </c>
      <c r="BG66" s="89">
        <v>700</v>
      </c>
      <c r="BJ66" s="73"/>
      <c r="BK66" s="73"/>
      <c r="BL66" s="73"/>
      <c r="BM66" s="73"/>
      <c r="BN66" s="73" t="s">
        <v>51</v>
      </c>
      <c r="BO66" s="73"/>
      <c r="BP66" s="73"/>
      <c r="BQ66" s="89"/>
    </row>
    <row r="67" spans="1:69" ht="12" customHeight="1" thickBot="1" x14ac:dyDescent="0.25">
      <c r="A67" s="73"/>
      <c r="B67" s="144"/>
      <c r="C67" s="144"/>
      <c r="D67" s="144"/>
      <c r="E67" s="144" t="s">
        <v>50</v>
      </c>
      <c r="F67" s="144"/>
      <c r="G67" s="145"/>
      <c r="H67" s="146">
        <f>ROUND(H18+H36+H46+H51+H61+H66,5)</f>
        <v>472488.97</v>
      </c>
      <c r="I67" s="147">
        <f t="shared" ref="I67:P67" si="39">ROUND(I18+I36+I46+I51+I61+I66,5)</f>
        <v>53037.48</v>
      </c>
      <c r="J67" s="147">
        <f t="shared" si="39"/>
        <v>41935.74</v>
      </c>
      <c r="K67" s="147">
        <f t="shared" si="39"/>
        <v>567462.18999999994</v>
      </c>
      <c r="L67" s="146">
        <f t="shared" si="39"/>
        <v>669191</v>
      </c>
      <c r="M67" s="147">
        <f t="shared" si="39"/>
        <v>626242</v>
      </c>
      <c r="N67" s="148">
        <f t="shared" si="39"/>
        <v>606102.34250000003</v>
      </c>
      <c r="O67" s="147">
        <f t="shared" si="39"/>
        <v>17235.552500000002</v>
      </c>
      <c r="P67" s="148">
        <f t="shared" si="39"/>
        <v>-41544.2575</v>
      </c>
      <c r="R67" s="73"/>
      <c r="S67" s="89"/>
      <c r="U67" s="73"/>
      <c r="V67" s="73"/>
      <c r="W67" s="73"/>
      <c r="X67" s="73"/>
      <c r="Y67" s="73"/>
      <c r="Z67" s="73"/>
      <c r="AA67" s="73" t="s">
        <v>49</v>
      </c>
      <c r="AB67" s="73"/>
      <c r="AC67" s="116">
        <f>ROUND(SUM(AC64:AC66),5)</f>
        <v>13769.09</v>
      </c>
      <c r="AE67" s="73"/>
      <c r="AF67" s="73"/>
      <c r="AG67" s="73"/>
      <c r="AH67" s="73"/>
      <c r="AI67" s="73"/>
      <c r="AJ67" s="73"/>
      <c r="AK67" s="73" t="s">
        <v>52</v>
      </c>
      <c r="AL67" s="73"/>
      <c r="AM67" s="81"/>
      <c r="AP67" s="73"/>
      <c r="AQ67" s="73"/>
      <c r="AR67" s="73"/>
      <c r="AS67" s="73"/>
      <c r="AT67" s="73"/>
      <c r="AU67" s="73" t="s">
        <v>52</v>
      </c>
      <c r="AV67" s="73"/>
      <c r="AW67" s="81"/>
      <c r="AY67" s="73"/>
      <c r="AZ67" s="73"/>
      <c r="BA67" s="73"/>
      <c r="BB67" s="73"/>
      <c r="BC67" s="73"/>
      <c r="BD67" s="73"/>
      <c r="BE67" s="73" t="s">
        <v>49</v>
      </c>
      <c r="BF67" s="73"/>
      <c r="BG67" s="116">
        <f>ROUND(SUM(BG64:BG66),5)</f>
        <v>71898</v>
      </c>
      <c r="BJ67" s="73"/>
      <c r="BK67" s="73"/>
      <c r="BL67" s="73"/>
      <c r="BM67" s="73"/>
      <c r="BN67" s="73"/>
      <c r="BO67" s="73" t="s">
        <v>52</v>
      </c>
      <c r="BP67" s="73"/>
      <c r="BQ67" s="89"/>
    </row>
    <row r="68" spans="1:69" ht="12" customHeight="1" thickBot="1" x14ac:dyDescent="0.25">
      <c r="A68" s="73"/>
      <c r="B68" s="73"/>
      <c r="C68" s="73"/>
      <c r="D68" s="73"/>
      <c r="E68" s="73" t="s">
        <v>51</v>
      </c>
      <c r="F68" s="73"/>
      <c r="G68" s="73"/>
      <c r="H68" s="122"/>
      <c r="I68" s="123"/>
      <c r="J68" s="123"/>
      <c r="K68" s="123"/>
      <c r="L68" s="122"/>
      <c r="M68" s="123"/>
      <c r="N68" s="124"/>
      <c r="O68" s="123"/>
      <c r="P68" s="124"/>
      <c r="R68" s="73"/>
      <c r="S68" s="89"/>
      <c r="U68" s="73"/>
      <c r="V68" s="73"/>
      <c r="W68" s="73"/>
      <c r="X68" s="73"/>
      <c r="Y68" s="73"/>
      <c r="Z68" s="73" t="s">
        <v>50</v>
      </c>
      <c r="AA68" s="73"/>
      <c r="AB68" s="73"/>
      <c r="AC68" s="89">
        <f>ROUND(AC19+AC37+AC48+AC53+AC63+AC67,5)</f>
        <v>426637.64</v>
      </c>
      <c r="AE68" s="73"/>
      <c r="AF68" s="73"/>
      <c r="AG68" s="73"/>
      <c r="AH68" s="73"/>
      <c r="AI68" s="73"/>
      <c r="AJ68" s="73"/>
      <c r="AK68" s="73"/>
      <c r="AL68" s="73" t="s">
        <v>53</v>
      </c>
      <c r="AM68" s="135">
        <v>0</v>
      </c>
      <c r="AP68" s="73"/>
      <c r="AQ68" s="73"/>
      <c r="AR68" s="73"/>
      <c r="AS68" s="73"/>
      <c r="AT68" s="73"/>
      <c r="AU68" s="73"/>
      <c r="AV68" s="73" t="s">
        <v>53</v>
      </c>
      <c r="AW68" s="135">
        <v>10</v>
      </c>
      <c r="AY68" s="73"/>
      <c r="AZ68" s="73"/>
      <c r="BA68" s="73"/>
      <c r="BB68" s="73"/>
      <c r="BC68" s="73"/>
      <c r="BD68" s="73" t="s">
        <v>50</v>
      </c>
      <c r="BE68" s="73"/>
      <c r="BF68" s="73"/>
      <c r="BG68" s="89">
        <f>ROUND(BG19+BG37+BG48+BG53+BG63+BG67,5)</f>
        <v>626242</v>
      </c>
      <c r="BJ68" s="73"/>
      <c r="BK68" s="73"/>
      <c r="BL68" s="73"/>
      <c r="BM68" s="73"/>
      <c r="BN68" s="73"/>
      <c r="BO68" s="73"/>
      <c r="BP68" s="73" t="s">
        <v>53</v>
      </c>
      <c r="BQ68" s="136">
        <v>2250</v>
      </c>
    </row>
    <row r="69" spans="1:69" ht="12" customHeight="1" x14ac:dyDescent="0.2">
      <c r="A69" s="73"/>
      <c r="B69" s="73"/>
      <c r="C69" s="73"/>
      <c r="D69" s="73"/>
      <c r="E69" s="73"/>
      <c r="F69" s="73" t="s">
        <v>52</v>
      </c>
      <c r="G69" s="73"/>
      <c r="H69" s="122"/>
      <c r="I69" s="123"/>
      <c r="J69" s="123"/>
      <c r="K69" s="123"/>
      <c r="L69" s="122"/>
      <c r="M69" s="123"/>
      <c r="N69" s="124"/>
      <c r="O69" s="123"/>
      <c r="P69" s="124"/>
      <c r="R69" s="73"/>
      <c r="S69" s="89"/>
      <c r="U69" s="73"/>
      <c r="V69" s="73"/>
      <c r="W69" s="73"/>
      <c r="X69" s="73"/>
      <c r="Y69" s="73"/>
      <c r="Z69" s="73" t="s">
        <v>51</v>
      </c>
      <c r="AA69" s="73"/>
      <c r="AB69" s="73"/>
      <c r="AC69" s="89"/>
      <c r="AE69" s="73"/>
      <c r="AF69" s="73"/>
      <c r="AG69" s="73"/>
      <c r="AH69" s="73"/>
      <c r="AI69" s="73"/>
      <c r="AJ69" s="73"/>
      <c r="AK69" s="73" t="s">
        <v>54</v>
      </c>
      <c r="AL69" s="73"/>
      <c r="AM69" s="81">
        <f>ROUND(SUM(AM67:AM68),5)</f>
        <v>0</v>
      </c>
      <c r="AP69" s="73"/>
      <c r="AQ69" s="73"/>
      <c r="AR69" s="73"/>
      <c r="AS69" s="73"/>
      <c r="AT69" s="73"/>
      <c r="AU69" s="73" t="s">
        <v>54</v>
      </c>
      <c r="AV69" s="73"/>
      <c r="AW69" s="81">
        <f>ROUND(SUM(AW67:AW68),5)</f>
        <v>10</v>
      </c>
      <c r="AY69" s="73"/>
      <c r="AZ69" s="73"/>
      <c r="BA69" s="73"/>
      <c r="BB69" s="73"/>
      <c r="BC69" s="73"/>
      <c r="BD69" s="73" t="s">
        <v>51</v>
      </c>
      <c r="BE69" s="73"/>
      <c r="BF69" s="73"/>
      <c r="BG69" s="89"/>
      <c r="BJ69" s="73"/>
      <c r="BK69" s="73"/>
      <c r="BL69" s="73"/>
      <c r="BM69" s="73"/>
      <c r="BN69" s="73"/>
      <c r="BO69" s="73" t="s">
        <v>54</v>
      </c>
      <c r="BP69" s="73"/>
      <c r="BQ69" s="89">
        <f>ROUND(SUM(BQ67:BQ68),5)</f>
        <v>2250</v>
      </c>
    </row>
    <row r="70" spans="1:69" ht="12" customHeight="1" thickBot="1" x14ac:dyDescent="0.25">
      <c r="A70" s="73"/>
      <c r="B70" s="106"/>
      <c r="C70" s="106"/>
      <c r="D70" s="106"/>
      <c r="E70" s="106"/>
      <c r="F70" s="106"/>
      <c r="G70" s="107" t="s">
        <v>53</v>
      </c>
      <c r="H70" s="127">
        <v>1789.02</v>
      </c>
      <c r="I70" s="128">
        <v>0</v>
      </c>
      <c r="J70" s="128">
        <v>10</v>
      </c>
      <c r="K70" s="129">
        <f t="shared" ref="K70" si="40">SUM(H70:J70)</f>
        <v>1799.02</v>
      </c>
      <c r="L70" s="130">
        <v>2250</v>
      </c>
      <c r="M70" s="131">
        <v>1300</v>
      </c>
      <c r="N70" s="132">
        <v>1800</v>
      </c>
      <c r="O70" s="133">
        <f>N70-K70</f>
        <v>0.98000000000001819</v>
      </c>
      <c r="P70" s="134">
        <f>N70-M70</f>
        <v>500</v>
      </c>
      <c r="R70" s="73"/>
      <c r="S70" s="89"/>
      <c r="U70" s="73"/>
      <c r="V70" s="73"/>
      <c r="W70" s="73"/>
      <c r="X70" s="73"/>
      <c r="Y70" s="73"/>
      <c r="Z70" s="73"/>
      <c r="AA70" s="73" t="s">
        <v>52</v>
      </c>
      <c r="AB70" s="73"/>
      <c r="AC70" s="89"/>
      <c r="AE70" s="73"/>
      <c r="AF70" s="73"/>
      <c r="AG70" s="73"/>
      <c r="AH70" s="73"/>
      <c r="AI70" s="73"/>
      <c r="AJ70" s="73"/>
      <c r="AK70" s="73" t="s">
        <v>98</v>
      </c>
      <c r="AL70" s="73"/>
      <c r="AM70" s="81"/>
      <c r="AP70" s="73"/>
      <c r="AQ70" s="73"/>
      <c r="AR70" s="73"/>
      <c r="AS70" s="73"/>
      <c r="AT70" s="73"/>
      <c r="AU70" s="73" t="s">
        <v>98</v>
      </c>
      <c r="AV70" s="73"/>
      <c r="AW70" s="81"/>
      <c r="AY70" s="73"/>
      <c r="AZ70" s="73"/>
      <c r="BA70" s="73"/>
      <c r="BB70" s="73"/>
      <c r="BC70" s="73"/>
      <c r="BD70" s="73"/>
      <c r="BE70" s="73" t="s">
        <v>52</v>
      </c>
      <c r="BF70" s="73"/>
      <c r="BG70" s="89"/>
      <c r="BJ70" s="73"/>
      <c r="BK70" s="73"/>
      <c r="BL70" s="73"/>
      <c r="BM70" s="73"/>
      <c r="BN70" s="73"/>
      <c r="BO70" s="73" t="s">
        <v>98</v>
      </c>
      <c r="BP70" s="73"/>
      <c r="BQ70" s="89"/>
    </row>
    <row r="71" spans="1:69" ht="12" customHeight="1" thickBot="1" x14ac:dyDescent="0.25">
      <c r="A71" s="73"/>
      <c r="B71" s="137"/>
      <c r="C71" s="137"/>
      <c r="D71" s="137"/>
      <c r="E71" s="137"/>
      <c r="F71" s="137" t="s">
        <v>54</v>
      </c>
      <c r="G71" s="137"/>
      <c r="H71" s="138">
        <f>ROUND(SUM(H69:H70),5)</f>
        <v>1789.02</v>
      </c>
      <c r="I71" s="139">
        <f t="shared" ref="I71:P71" si="41">ROUND(SUM(I69:I70),5)</f>
        <v>0</v>
      </c>
      <c r="J71" s="139">
        <f t="shared" si="41"/>
        <v>10</v>
      </c>
      <c r="K71" s="139">
        <f t="shared" si="41"/>
        <v>1799.02</v>
      </c>
      <c r="L71" s="138">
        <f t="shared" si="41"/>
        <v>2250</v>
      </c>
      <c r="M71" s="139">
        <f t="shared" si="41"/>
        <v>1300</v>
      </c>
      <c r="N71" s="140">
        <f t="shared" si="41"/>
        <v>1800</v>
      </c>
      <c r="O71" s="139">
        <f t="shared" si="41"/>
        <v>0.98</v>
      </c>
      <c r="P71" s="140">
        <f t="shared" si="41"/>
        <v>500</v>
      </c>
      <c r="R71" s="73"/>
      <c r="S71" s="89"/>
      <c r="U71" s="73"/>
      <c r="V71" s="73"/>
      <c r="W71" s="73"/>
      <c r="X71" s="73"/>
      <c r="Y71" s="73"/>
      <c r="Z71" s="73"/>
      <c r="AA71" s="73"/>
      <c r="AB71" s="73" t="s">
        <v>53</v>
      </c>
      <c r="AC71" s="136">
        <v>1789.02</v>
      </c>
      <c r="AE71" s="73"/>
      <c r="AF71" s="73"/>
      <c r="AG71" s="73"/>
      <c r="AH71" s="73"/>
      <c r="AI71" s="73"/>
      <c r="AJ71" s="73"/>
      <c r="AK71" s="73"/>
      <c r="AL71" s="73" t="s">
        <v>99</v>
      </c>
      <c r="AM71" s="135">
        <v>91.74</v>
      </c>
      <c r="AP71" s="73"/>
      <c r="AQ71" s="73"/>
      <c r="AR71" s="73"/>
      <c r="AS71" s="73"/>
      <c r="AT71" s="73"/>
      <c r="AU71" s="73"/>
      <c r="AV71" s="73" t="s">
        <v>99</v>
      </c>
      <c r="AW71" s="135">
        <v>0</v>
      </c>
      <c r="AY71" s="73"/>
      <c r="AZ71" s="73"/>
      <c r="BA71" s="73"/>
      <c r="BB71" s="73"/>
      <c r="BC71" s="73"/>
      <c r="BD71" s="73"/>
      <c r="BE71" s="73"/>
      <c r="BF71" s="73" t="s">
        <v>53</v>
      </c>
      <c r="BG71" s="136">
        <v>1300</v>
      </c>
      <c r="BJ71" s="73"/>
      <c r="BK71" s="73"/>
      <c r="BL71" s="73"/>
      <c r="BM71" s="73"/>
      <c r="BN71" s="73"/>
      <c r="BO71" s="73"/>
      <c r="BP71" s="73" t="s">
        <v>99</v>
      </c>
      <c r="BQ71" s="136">
        <v>5000</v>
      </c>
    </row>
    <row r="72" spans="1:69" ht="12" customHeight="1" x14ac:dyDescent="0.2">
      <c r="A72" s="73"/>
      <c r="B72" s="73"/>
      <c r="C72" s="73"/>
      <c r="D72" s="73"/>
      <c r="E72" s="74"/>
      <c r="F72" s="73" t="s">
        <v>98</v>
      </c>
      <c r="G72" s="73"/>
      <c r="H72" s="122"/>
      <c r="I72" s="123"/>
      <c r="J72" s="123"/>
      <c r="K72" s="123"/>
      <c r="L72" s="122"/>
      <c r="M72" s="123"/>
      <c r="N72" s="124"/>
      <c r="O72" s="123"/>
      <c r="P72" s="124"/>
      <c r="R72" s="73"/>
      <c r="S72" s="89"/>
      <c r="U72" s="73"/>
      <c r="V72" s="73"/>
      <c r="W72" s="73"/>
      <c r="X72" s="73"/>
      <c r="Y72" s="73"/>
      <c r="Z72" s="73"/>
      <c r="AA72" s="73" t="s">
        <v>54</v>
      </c>
      <c r="AB72" s="73"/>
      <c r="AC72" s="89">
        <f>ROUND(SUM(AC70:AC71),5)</f>
        <v>1789.02</v>
      </c>
      <c r="AE72" s="73"/>
      <c r="AF72" s="73"/>
      <c r="AG72" s="73"/>
      <c r="AH72" s="73"/>
      <c r="AI72" s="73"/>
      <c r="AJ72" s="73"/>
      <c r="AK72" s="73" t="s">
        <v>96</v>
      </c>
      <c r="AL72" s="73"/>
      <c r="AM72" s="81">
        <f>ROUND(SUM(AM70:AM71),5)</f>
        <v>91.74</v>
      </c>
      <c r="AP72" s="73"/>
      <c r="AQ72" s="73"/>
      <c r="AR72" s="73"/>
      <c r="AS72" s="73"/>
      <c r="AT72" s="73"/>
      <c r="AU72" s="73" t="s">
        <v>96</v>
      </c>
      <c r="AV72" s="73"/>
      <c r="AW72" s="81">
        <f>ROUND(SUM(AW70:AW71),5)</f>
        <v>0</v>
      </c>
      <c r="AY72" s="73"/>
      <c r="AZ72" s="73"/>
      <c r="BA72" s="73"/>
      <c r="BB72" s="73"/>
      <c r="BC72" s="73"/>
      <c r="BD72" s="73"/>
      <c r="BE72" s="73" t="s">
        <v>54</v>
      </c>
      <c r="BF72" s="73"/>
      <c r="BG72" s="89">
        <f>ROUND(SUM(BG70:BG71),5)</f>
        <v>1300</v>
      </c>
      <c r="BJ72" s="73"/>
      <c r="BK72" s="73"/>
      <c r="BL72" s="73"/>
      <c r="BM72" s="73"/>
      <c r="BN72" s="73"/>
      <c r="BO72" s="73" t="s">
        <v>96</v>
      </c>
      <c r="BP72" s="73"/>
      <c r="BQ72" s="89">
        <f>ROUND(SUM(BQ70:BQ71),5)</f>
        <v>5000</v>
      </c>
    </row>
    <row r="73" spans="1:69" ht="12" customHeight="1" thickBot="1" x14ac:dyDescent="0.25">
      <c r="A73" s="73"/>
      <c r="B73" s="106"/>
      <c r="C73" s="106"/>
      <c r="D73" s="106"/>
      <c r="E73" s="106"/>
      <c r="F73" s="106"/>
      <c r="G73" s="107" t="s">
        <v>99</v>
      </c>
      <c r="H73" s="127">
        <v>411.97</v>
      </c>
      <c r="I73" s="128">
        <v>91.74</v>
      </c>
      <c r="J73" s="128">
        <v>0</v>
      </c>
      <c r="K73" s="129">
        <f t="shared" ref="K73" si="42">SUM(H73:J73)</f>
        <v>503.71000000000004</v>
      </c>
      <c r="L73" s="130">
        <v>5000</v>
      </c>
      <c r="M73" s="131">
        <v>1000</v>
      </c>
      <c r="N73" s="132">
        <v>500</v>
      </c>
      <c r="O73" s="133">
        <f>N73-K73</f>
        <v>-3.7100000000000364</v>
      </c>
      <c r="P73" s="134">
        <f>N73-M73</f>
        <v>-500</v>
      </c>
      <c r="R73" s="73"/>
      <c r="S73" s="89"/>
      <c r="U73" s="73"/>
      <c r="V73" s="73"/>
      <c r="W73" s="73"/>
      <c r="X73" s="73"/>
      <c r="Y73" s="73"/>
      <c r="Z73" s="73"/>
      <c r="AA73" s="73" t="s">
        <v>98</v>
      </c>
      <c r="AB73" s="73"/>
      <c r="AC73" s="89"/>
      <c r="AE73" s="73"/>
      <c r="AF73" s="73"/>
      <c r="AG73" s="73"/>
      <c r="AH73" s="73"/>
      <c r="AI73" s="73"/>
      <c r="AJ73" s="73"/>
      <c r="AK73" s="73" t="s">
        <v>55</v>
      </c>
      <c r="AL73" s="73"/>
      <c r="AM73" s="81"/>
      <c r="AP73" s="73"/>
      <c r="AQ73" s="73"/>
      <c r="AR73" s="73"/>
      <c r="AS73" s="73"/>
      <c r="AT73" s="73"/>
      <c r="AU73" s="73" t="s">
        <v>55</v>
      </c>
      <c r="AV73" s="73"/>
      <c r="AW73" s="81"/>
      <c r="AY73" s="73"/>
      <c r="AZ73" s="73"/>
      <c r="BA73" s="73"/>
      <c r="BB73" s="73"/>
      <c r="BC73" s="73"/>
      <c r="BD73" s="73"/>
      <c r="BE73" s="73" t="s">
        <v>98</v>
      </c>
      <c r="BF73" s="73"/>
      <c r="BG73" s="89"/>
      <c r="BJ73" s="73"/>
      <c r="BK73" s="73"/>
      <c r="BL73" s="73"/>
      <c r="BM73" s="73"/>
      <c r="BN73" s="73"/>
      <c r="BO73" s="73" t="s">
        <v>55</v>
      </c>
      <c r="BP73" s="73"/>
      <c r="BQ73" s="89"/>
    </row>
    <row r="74" spans="1:69" ht="12" customHeight="1" thickBot="1" x14ac:dyDescent="0.25">
      <c r="A74" s="73"/>
      <c r="B74" s="137"/>
      <c r="C74" s="137"/>
      <c r="D74" s="137"/>
      <c r="E74" s="137"/>
      <c r="F74" s="137" t="s">
        <v>96</v>
      </c>
      <c r="G74" s="137"/>
      <c r="H74" s="138">
        <f>ROUND(SUM(H72:H73),5)</f>
        <v>411.97</v>
      </c>
      <c r="I74" s="139">
        <f t="shared" ref="I74:P74" si="43">ROUND(SUM(I72:I73),5)</f>
        <v>91.74</v>
      </c>
      <c r="J74" s="139">
        <f t="shared" si="43"/>
        <v>0</v>
      </c>
      <c r="K74" s="139">
        <f t="shared" si="43"/>
        <v>503.71</v>
      </c>
      <c r="L74" s="138">
        <f t="shared" si="43"/>
        <v>5000</v>
      </c>
      <c r="M74" s="139">
        <f t="shared" si="43"/>
        <v>1000</v>
      </c>
      <c r="N74" s="140">
        <f t="shared" si="43"/>
        <v>500</v>
      </c>
      <c r="O74" s="139">
        <f t="shared" si="43"/>
        <v>-3.71</v>
      </c>
      <c r="P74" s="140">
        <f t="shared" si="43"/>
        <v>-500</v>
      </c>
      <c r="R74" s="73"/>
      <c r="S74" s="89"/>
      <c r="U74" s="73"/>
      <c r="V74" s="73"/>
      <c r="W74" s="73"/>
      <c r="X74" s="73"/>
      <c r="Y74" s="73"/>
      <c r="Z74" s="73"/>
      <c r="AA74" s="73"/>
      <c r="AB74" s="73" t="s">
        <v>99</v>
      </c>
      <c r="AC74" s="136">
        <v>411.97</v>
      </c>
      <c r="AE74" s="73"/>
      <c r="AF74" s="73"/>
      <c r="AG74" s="73"/>
      <c r="AH74" s="73"/>
      <c r="AI74" s="73"/>
      <c r="AJ74" s="73"/>
      <c r="AK74" s="73"/>
      <c r="AL74" s="73" t="s">
        <v>104</v>
      </c>
      <c r="AM74" s="81">
        <v>2804.88</v>
      </c>
      <c r="AP74" s="73"/>
      <c r="AQ74" s="73"/>
      <c r="AR74" s="73"/>
      <c r="AS74" s="73"/>
      <c r="AT74" s="73"/>
      <c r="AU74" s="73"/>
      <c r="AV74" s="73" t="s">
        <v>104</v>
      </c>
      <c r="AW74" s="81">
        <v>280.73</v>
      </c>
      <c r="AY74" s="73"/>
      <c r="AZ74" s="73"/>
      <c r="BA74" s="73"/>
      <c r="BB74" s="73"/>
      <c r="BC74" s="73"/>
      <c r="BD74" s="73"/>
      <c r="BE74" s="73"/>
      <c r="BF74" s="73" t="s">
        <v>99</v>
      </c>
      <c r="BG74" s="136">
        <v>1000</v>
      </c>
      <c r="BJ74" s="73"/>
      <c r="BK74" s="73"/>
      <c r="BL74" s="73"/>
      <c r="BM74" s="73"/>
      <c r="BN74" s="73"/>
      <c r="BO74" s="73"/>
      <c r="BP74" s="73" t="s">
        <v>104</v>
      </c>
      <c r="BQ74" s="89">
        <v>4100</v>
      </c>
    </row>
    <row r="75" spans="1:69" ht="12" customHeight="1" x14ac:dyDescent="0.2">
      <c r="A75" s="73"/>
      <c r="B75" s="73"/>
      <c r="C75" s="73"/>
      <c r="D75" s="73"/>
      <c r="E75" s="73"/>
      <c r="F75" s="73" t="s">
        <v>55</v>
      </c>
      <c r="G75" s="73"/>
      <c r="H75" s="122"/>
      <c r="I75" s="123"/>
      <c r="J75" s="123"/>
      <c r="K75" s="123"/>
      <c r="L75" s="122"/>
      <c r="M75" s="123"/>
      <c r="N75" s="124"/>
      <c r="O75" s="123"/>
      <c r="P75" s="124"/>
      <c r="R75" s="73"/>
      <c r="S75" s="89"/>
      <c r="U75" s="73"/>
      <c r="V75" s="73"/>
      <c r="W75" s="73"/>
      <c r="X75" s="73"/>
      <c r="Y75" s="73"/>
      <c r="Z75" s="73"/>
      <c r="AA75" s="73" t="s">
        <v>96</v>
      </c>
      <c r="AB75" s="73"/>
      <c r="AC75" s="89">
        <f>ROUND(SUM(AC73:AC74),5)</f>
        <v>411.97</v>
      </c>
      <c r="AE75" s="73"/>
      <c r="AF75" s="73"/>
      <c r="AG75" s="73"/>
      <c r="AH75" s="73"/>
      <c r="AI75" s="73"/>
      <c r="AJ75" s="73"/>
      <c r="AK75" s="73"/>
      <c r="AL75" s="73" t="s">
        <v>105</v>
      </c>
      <c r="AM75" s="81">
        <v>0</v>
      </c>
      <c r="AP75" s="73"/>
      <c r="AQ75" s="73"/>
      <c r="AR75" s="73"/>
      <c r="AS75" s="73"/>
      <c r="AT75" s="73"/>
      <c r="AU75" s="73"/>
      <c r="AV75" s="73" t="s">
        <v>105</v>
      </c>
      <c r="AW75" s="81">
        <v>0</v>
      </c>
      <c r="AY75" s="73"/>
      <c r="AZ75" s="73"/>
      <c r="BA75" s="73"/>
      <c r="BB75" s="73"/>
      <c r="BC75" s="73"/>
      <c r="BD75" s="73"/>
      <c r="BE75" s="73" t="s">
        <v>96</v>
      </c>
      <c r="BF75" s="73"/>
      <c r="BG75" s="89">
        <f>ROUND(SUM(BG73:BG74),5)</f>
        <v>1000</v>
      </c>
      <c r="BJ75" s="73"/>
      <c r="BK75" s="73"/>
      <c r="BL75" s="73"/>
      <c r="BM75" s="73"/>
      <c r="BN75" s="73"/>
      <c r="BO75" s="73"/>
      <c r="BP75" s="73" t="s">
        <v>105</v>
      </c>
      <c r="BQ75" s="89">
        <v>7700</v>
      </c>
    </row>
    <row r="76" spans="1:69" ht="12" customHeight="1" thickBot="1" x14ac:dyDescent="0.25">
      <c r="A76" s="73"/>
      <c r="B76" s="73"/>
      <c r="C76" s="73"/>
      <c r="D76" s="73"/>
      <c r="E76" s="73"/>
      <c r="F76" s="73"/>
      <c r="G76" s="73" t="s">
        <v>104</v>
      </c>
      <c r="H76" s="96">
        <v>4029.51</v>
      </c>
      <c r="I76" s="97">
        <v>2804.88</v>
      </c>
      <c r="J76" s="97">
        <v>280.73</v>
      </c>
      <c r="K76" s="98">
        <f t="shared" ref="K76:K79" si="44">SUM(H76:J76)</f>
        <v>7115.1200000000008</v>
      </c>
      <c r="L76" s="125">
        <v>4100</v>
      </c>
      <c r="M76" s="100">
        <v>4800</v>
      </c>
      <c r="N76" s="101">
        <v>7800</v>
      </c>
      <c r="O76" s="102">
        <f t="shared" ref="O76:O79" si="45">N76-K76</f>
        <v>684.8799999999992</v>
      </c>
      <c r="P76" s="103">
        <f t="shared" ref="P76:P79" si="46">N76-M76</f>
        <v>3000</v>
      </c>
      <c r="R76" s="73"/>
      <c r="S76" s="89"/>
      <c r="U76" s="73"/>
      <c r="V76" s="73"/>
      <c r="W76" s="73"/>
      <c r="X76" s="73"/>
      <c r="Y76" s="73"/>
      <c r="Z76" s="73"/>
      <c r="AA76" s="73" t="s">
        <v>55</v>
      </c>
      <c r="AB76" s="73"/>
      <c r="AC76" s="89"/>
      <c r="AE76" s="73"/>
      <c r="AF76" s="73"/>
      <c r="AG76" s="73"/>
      <c r="AH76" s="73"/>
      <c r="AI76" s="73"/>
      <c r="AJ76" s="73"/>
      <c r="AK76" s="73"/>
      <c r="AL76" s="73" t="s">
        <v>106</v>
      </c>
      <c r="AM76" s="135">
        <v>36.31</v>
      </c>
      <c r="AP76" s="73"/>
      <c r="AQ76" s="73"/>
      <c r="AR76" s="73"/>
      <c r="AS76" s="73"/>
      <c r="AT76" s="73"/>
      <c r="AU76" s="73"/>
      <c r="AV76" s="73" t="s">
        <v>106</v>
      </c>
      <c r="AW76" s="135">
        <v>48.81</v>
      </c>
      <c r="AY76" s="73"/>
      <c r="AZ76" s="73"/>
      <c r="BA76" s="73"/>
      <c r="BB76" s="73"/>
      <c r="BC76" s="73"/>
      <c r="BD76" s="73"/>
      <c r="BE76" s="73" t="s">
        <v>55</v>
      </c>
      <c r="BF76" s="73"/>
      <c r="BG76" s="89"/>
      <c r="BJ76" s="73"/>
      <c r="BK76" s="73"/>
      <c r="BL76" s="73"/>
      <c r="BM76" s="73"/>
      <c r="BN76" s="73"/>
      <c r="BO76" s="73"/>
      <c r="BP76" s="73" t="s">
        <v>106</v>
      </c>
      <c r="BQ76" s="136">
        <v>2000</v>
      </c>
    </row>
    <row r="77" spans="1:69" ht="12" customHeight="1" x14ac:dyDescent="0.2">
      <c r="A77" s="73"/>
      <c r="B77" s="73"/>
      <c r="C77" s="73"/>
      <c r="D77" s="73"/>
      <c r="E77" s="73"/>
      <c r="F77" s="73"/>
      <c r="G77" s="73" t="s">
        <v>105</v>
      </c>
      <c r="H77" s="96">
        <v>2982.26</v>
      </c>
      <c r="I77" s="97">
        <v>0</v>
      </c>
      <c r="J77" s="97">
        <v>0</v>
      </c>
      <c r="K77" s="98">
        <f t="shared" si="44"/>
        <v>2982.26</v>
      </c>
      <c r="L77" s="125">
        <v>7700</v>
      </c>
      <c r="M77" s="100">
        <v>6000</v>
      </c>
      <c r="N77" s="101">
        <v>3000</v>
      </c>
      <c r="O77" s="102">
        <f t="shared" si="45"/>
        <v>17.739999999999782</v>
      </c>
      <c r="P77" s="103">
        <f t="shared" si="46"/>
        <v>-3000</v>
      </c>
      <c r="R77" s="149" t="s">
        <v>242</v>
      </c>
      <c r="S77" s="89"/>
      <c r="U77" s="73"/>
      <c r="V77" s="73"/>
      <c r="W77" s="73"/>
      <c r="X77" s="73"/>
      <c r="Y77" s="73"/>
      <c r="Z77" s="73"/>
      <c r="AA77" s="73"/>
      <c r="AB77" s="73" t="s">
        <v>104</v>
      </c>
      <c r="AC77" s="89">
        <v>4029.51</v>
      </c>
      <c r="AE77" s="73"/>
      <c r="AF77" s="73"/>
      <c r="AG77" s="73"/>
      <c r="AH77" s="73"/>
      <c r="AI77" s="73"/>
      <c r="AJ77" s="73"/>
      <c r="AK77" s="73" t="s">
        <v>56</v>
      </c>
      <c r="AL77" s="73"/>
      <c r="AM77" s="81">
        <f>ROUND(SUM(AM73:AM76),5)</f>
        <v>2841.19</v>
      </c>
      <c r="AP77" s="73"/>
      <c r="AQ77" s="73"/>
      <c r="AR77" s="73"/>
      <c r="AS77" s="73"/>
      <c r="AT77" s="73"/>
      <c r="AU77" s="73" t="s">
        <v>56</v>
      </c>
      <c r="AV77" s="73"/>
      <c r="AW77" s="81">
        <f>ROUND(SUM(AW73:AW76),5)</f>
        <v>329.54</v>
      </c>
      <c r="AY77" s="73"/>
      <c r="AZ77" s="73"/>
      <c r="BA77" s="73"/>
      <c r="BB77" s="73"/>
      <c r="BC77" s="73"/>
      <c r="BD77" s="73"/>
      <c r="BE77" s="73"/>
      <c r="BF77" s="73" t="s">
        <v>104</v>
      </c>
      <c r="BG77" s="89">
        <v>4800</v>
      </c>
      <c r="BJ77" s="73"/>
      <c r="BK77" s="73"/>
      <c r="BL77" s="73"/>
      <c r="BM77" s="73"/>
      <c r="BN77" s="73"/>
      <c r="BO77" s="73" t="s">
        <v>56</v>
      </c>
      <c r="BP77" s="73"/>
      <c r="BQ77" s="89">
        <f>ROUND(SUM(BQ73:BQ76),5)</f>
        <v>13800</v>
      </c>
    </row>
    <row r="78" spans="1:69" ht="12" customHeight="1" x14ac:dyDescent="0.2">
      <c r="A78" s="73"/>
      <c r="B78" s="73"/>
      <c r="C78" s="73"/>
      <c r="D78" s="73"/>
      <c r="E78" s="73"/>
      <c r="F78" s="73"/>
      <c r="G78" s="73" t="s">
        <v>106</v>
      </c>
      <c r="H78" s="96">
        <v>861.49</v>
      </c>
      <c r="I78" s="97">
        <v>36.31</v>
      </c>
      <c r="J78" s="97">
        <v>48.81</v>
      </c>
      <c r="K78" s="98">
        <f t="shared" si="44"/>
        <v>946.6099999999999</v>
      </c>
      <c r="L78" s="125">
        <v>2000</v>
      </c>
      <c r="M78" s="100">
        <v>1200</v>
      </c>
      <c r="N78" s="101">
        <v>1200</v>
      </c>
      <c r="O78" s="102">
        <f t="shared" si="45"/>
        <v>253.3900000000001</v>
      </c>
      <c r="P78" s="103">
        <f t="shared" si="46"/>
        <v>0</v>
      </c>
      <c r="R78" s="73"/>
      <c r="S78" s="89"/>
      <c r="U78" s="73"/>
      <c r="V78" s="73"/>
      <c r="W78" s="73"/>
      <c r="X78" s="73"/>
      <c r="Y78" s="73"/>
      <c r="Z78" s="73"/>
      <c r="AA78" s="73"/>
      <c r="AB78" s="73" t="s">
        <v>105</v>
      </c>
      <c r="AC78" s="89">
        <v>2982.26</v>
      </c>
      <c r="AE78" s="73"/>
      <c r="AF78" s="73"/>
      <c r="AG78" s="73"/>
      <c r="AH78" s="73"/>
      <c r="AI78" s="73"/>
      <c r="AJ78" s="73"/>
      <c r="AK78" s="73" t="s">
        <v>57</v>
      </c>
      <c r="AL78" s="73"/>
      <c r="AM78" s="81"/>
      <c r="AP78" s="73"/>
      <c r="AQ78" s="73"/>
      <c r="AR78" s="73"/>
      <c r="AS78" s="73"/>
      <c r="AT78" s="73"/>
      <c r="AU78" s="73" t="s">
        <v>57</v>
      </c>
      <c r="AV78" s="73"/>
      <c r="AW78" s="81"/>
      <c r="AY78" s="73"/>
      <c r="AZ78" s="73"/>
      <c r="BA78" s="73"/>
      <c r="BB78" s="73"/>
      <c r="BC78" s="73"/>
      <c r="BD78" s="73"/>
      <c r="BE78" s="73"/>
      <c r="BF78" s="73" t="s">
        <v>105</v>
      </c>
      <c r="BG78" s="89">
        <v>6000</v>
      </c>
      <c r="BJ78" s="73"/>
      <c r="BK78" s="73"/>
      <c r="BL78" s="73"/>
      <c r="BM78" s="73"/>
      <c r="BN78" s="73"/>
      <c r="BO78" s="73" t="s">
        <v>57</v>
      </c>
      <c r="BP78" s="73"/>
      <c r="BQ78" s="89"/>
    </row>
    <row r="79" spans="1:69" ht="12" customHeight="1" thickBot="1" x14ac:dyDescent="0.25">
      <c r="A79" s="73"/>
      <c r="B79" s="106"/>
      <c r="C79" s="106"/>
      <c r="D79" s="106"/>
      <c r="E79" s="106"/>
      <c r="F79" s="106"/>
      <c r="G79" s="107" t="s">
        <v>107</v>
      </c>
      <c r="H79" s="127">
        <v>540</v>
      </c>
      <c r="I79" s="128"/>
      <c r="J79" s="128"/>
      <c r="K79" s="129">
        <f t="shared" si="44"/>
        <v>540</v>
      </c>
      <c r="L79" s="130"/>
      <c r="M79" s="131">
        <v>1000</v>
      </c>
      <c r="N79" s="132">
        <v>1000</v>
      </c>
      <c r="O79" s="133">
        <f t="shared" si="45"/>
        <v>460</v>
      </c>
      <c r="P79" s="134">
        <f t="shared" si="46"/>
        <v>0</v>
      </c>
      <c r="R79" s="73"/>
      <c r="S79" s="89"/>
      <c r="U79" s="73"/>
      <c r="V79" s="73"/>
      <c r="W79" s="73"/>
      <c r="X79" s="73"/>
      <c r="Y79" s="73"/>
      <c r="Z79" s="73"/>
      <c r="AA79" s="73"/>
      <c r="AB79" s="73" t="s">
        <v>106</v>
      </c>
      <c r="AC79" s="89">
        <v>861.49</v>
      </c>
      <c r="AE79" s="73"/>
      <c r="AF79" s="73"/>
      <c r="AG79" s="73"/>
      <c r="AH79" s="73"/>
      <c r="AI79" s="73"/>
      <c r="AJ79" s="73"/>
      <c r="AK79" s="73"/>
      <c r="AL79" s="73" t="s">
        <v>147</v>
      </c>
      <c r="AM79" s="150">
        <v>-13.1</v>
      </c>
      <c r="AP79" s="73"/>
      <c r="AQ79" s="73"/>
      <c r="AR79" s="73"/>
      <c r="AS79" s="73"/>
      <c r="AT79" s="73"/>
      <c r="AU79" s="73"/>
      <c r="AV79" s="73" t="s">
        <v>147</v>
      </c>
      <c r="AW79" s="81">
        <v>494.07</v>
      </c>
      <c r="AY79" s="73"/>
      <c r="AZ79" s="73"/>
      <c r="BA79" s="73"/>
      <c r="BB79" s="73"/>
      <c r="BC79" s="73"/>
      <c r="BD79" s="73"/>
      <c r="BE79" s="73"/>
      <c r="BF79" s="73" t="s">
        <v>106</v>
      </c>
      <c r="BG79" s="89">
        <v>1200</v>
      </c>
      <c r="BJ79" s="73"/>
      <c r="BK79" s="73"/>
      <c r="BL79" s="73"/>
      <c r="BM79" s="73"/>
      <c r="BN79" s="73"/>
      <c r="BO79" s="73"/>
      <c r="BP79" s="73" t="s">
        <v>147</v>
      </c>
      <c r="BQ79" s="89">
        <v>1230</v>
      </c>
    </row>
    <row r="80" spans="1:69" ht="12" customHeight="1" thickBot="1" x14ac:dyDescent="0.25">
      <c r="A80" s="73"/>
      <c r="B80" s="137"/>
      <c r="C80" s="137"/>
      <c r="D80" s="137"/>
      <c r="E80" s="137"/>
      <c r="F80" s="137" t="s">
        <v>56</v>
      </c>
      <c r="G80" s="137"/>
      <c r="H80" s="138">
        <f>ROUND(SUM(H75:H79),5)</f>
        <v>8413.26</v>
      </c>
      <c r="I80" s="139">
        <f t="shared" ref="I80:P80" si="47">ROUND(SUM(I75:I79),5)</f>
        <v>2841.19</v>
      </c>
      <c r="J80" s="139">
        <f t="shared" si="47"/>
        <v>329.54</v>
      </c>
      <c r="K80" s="139">
        <f t="shared" si="47"/>
        <v>11583.99</v>
      </c>
      <c r="L80" s="138">
        <f t="shared" si="47"/>
        <v>13800</v>
      </c>
      <c r="M80" s="139">
        <f t="shared" si="47"/>
        <v>13000</v>
      </c>
      <c r="N80" s="140">
        <f t="shared" si="47"/>
        <v>13000</v>
      </c>
      <c r="O80" s="139">
        <f t="shared" si="47"/>
        <v>1416.01</v>
      </c>
      <c r="P80" s="140">
        <f t="shared" si="47"/>
        <v>0</v>
      </c>
      <c r="R80" s="73"/>
      <c r="S80" s="89"/>
      <c r="U80" s="73"/>
      <c r="V80" s="73"/>
      <c r="W80" s="73"/>
      <c r="X80" s="73"/>
      <c r="Y80" s="73"/>
      <c r="Z80" s="73"/>
      <c r="AA80" s="73"/>
      <c r="AB80" s="73" t="s">
        <v>107</v>
      </c>
      <c r="AC80" s="136">
        <v>540</v>
      </c>
      <c r="AE80" s="73"/>
      <c r="AF80" s="73"/>
      <c r="AG80" s="73"/>
      <c r="AH80" s="73"/>
      <c r="AI80" s="73"/>
      <c r="AJ80" s="73"/>
      <c r="AK80" s="73"/>
      <c r="AL80" s="73" t="s">
        <v>148</v>
      </c>
      <c r="AM80" s="81">
        <v>0</v>
      </c>
      <c r="AP80" s="73"/>
      <c r="AQ80" s="73"/>
      <c r="AR80" s="73"/>
      <c r="AS80" s="73"/>
      <c r="AT80" s="73"/>
      <c r="AU80" s="73"/>
      <c r="AV80" s="73" t="s">
        <v>148</v>
      </c>
      <c r="AW80" s="81">
        <v>9.44</v>
      </c>
      <c r="AY80" s="73"/>
      <c r="AZ80" s="73"/>
      <c r="BA80" s="73"/>
      <c r="BB80" s="73"/>
      <c r="BC80" s="73"/>
      <c r="BD80" s="73"/>
      <c r="BE80" s="73"/>
      <c r="BF80" s="73" t="s">
        <v>107</v>
      </c>
      <c r="BG80" s="136">
        <v>1000</v>
      </c>
      <c r="BJ80" s="73"/>
      <c r="BK80" s="73"/>
      <c r="BL80" s="73"/>
      <c r="BM80" s="73"/>
      <c r="BN80" s="73"/>
      <c r="BO80" s="73"/>
      <c r="BP80" s="73" t="s">
        <v>148</v>
      </c>
      <c r="BQ80" s="89">
        <v>1640</v>
      </c>
    </row>
    <row r="81" spans="1:69" ht="12" customHeight="1" x14ac:dyDescent="0.2">
      <c r="A81" s="73"/>
      <c r="B81" s="73"/>
      <c r="C81" s="73"/>
      <c r="D81" s="73"/>
      <c r="E81" s="73"/>
      <c r="F81" s="73" t="s">
        <v>57</v>
      </c>
      <c r="G81" s="73"/>
      <c r="H81" s="122"/>
      <c r="I81" s="123"/>
      <c r="J81" s="123"/>
      <c r="K81" s="123"/>
      <c r="L81" s="122"/>
      <c r="M81" s="123"/>
      <c r="N81" s="124"/>
      <c r="O81" s="123"/>
      <c r="P81" s="124"/>
      <c r="R81" s="73"/>
      <c r="S81" s="89"/>
      <c r="U81" s="73"/>
      <c r="V81" s="73"/>
      <c r="W81" s="73"/>
      <c r="X81" s="73"/>
      <c r="Y81" s="73"/>
      <c r="Z81" s="73"/>
      <c r="AA81" s="73" t="s">
        <v>56</v>
      </c>
      <c r="AB81" s="73"/>
      <c r="AC81" s="89">
        <f>ROUND(SUM(AC76:AC80),5)</f>
        <v>8413.26</v>
      </c>
      <c r="AE81" s="73"/>
      <c r="AF81" s="73"/>
      <c r="AG81" s="73"/>
      <c r="AH81" s="73"/>
      <c r="AI81" s="73"/>
      <c r="AJ81" s="73"/>
      <c r="AK81" s="73"/>
      <c r="AL81" s="73" t="s">
        <v>163</v>
      </c>
      <c r="AM81" s="81">
        <v>0</v>
      </c>
      <c r="AP81" s="73"/>
      <c r="AQ81" s="73"/>
      <c r="AR81" s="73"/>
      <c r="AS81" s="73"/>
      <c r="AT81" s="73"/>
      <c r="AU81" s="73"/>
      <c r="AV81" s="73" t="s">
        <v>163</v>
      </c>
      <c r="AW81" s="81">
        <v>0</v>
      </c>
      <c r="AY81" s="73"/>
      <c r="AZ81" s="73"/>
      <c r="BA81" s="73"/>
      <c r="BB81" s="73"/>
      <c r="BC81" s="73"/>
      <c r="BD81" s="73"/>
      <c r="BE81" s="73" t="s">
        <v>56</v>
      </c>
      <c r="BF81" s="73"/>
      <c r="BG81" s="89">
        <f>ROUND(SUM(BG76:BG80),5)</f>
        <v>13000</v>
      </c>
      <c r="BJ81" s="73"/>
      <c r="BK81" s="73"/>
      <c r="BL81" s="73"/>
      <c r="BM81" s="73"/>
      <c r="BN81" s="73"/>
      <c r="BO81" s="73"/>
      <c r="BP81" s="73" t="s">
        <v>163</v>
      </c>
      <c r="BQ81" s="89">
        <v>210</v>
      </c>
    </row>
    <row r="82" spans="1:69" ht="12" customHeight="1" x14ac:dyDescent="0.2">
      <c r="A82" s="73"/>
      <c r="B82" s="73"/>
      <c r="C82" s="73"/>
      <c r="D82" s="73"/>
      <c r="E82" s="73"/>
      <c r="F82" s="73"/>
      <c r="G82" s="73" t="s">
        <v>250</v>
      </c>
      <c r="H82" s="96">
        <v>2643.89</v>
      </c>
      <c r="I82" s="97">
        <v>248.2</v>
      </c>
      <c r="J82" s="97">
        <v>529.32000000000005</v>
      </c>
      <c r="K82" s="98">
        <f t="shared" ref="K82:K87" si="48">SUM(H82:J82)</f>
        <v>3421.41</v>
      </c>
      <c r="L82" s="125">
        <v>2050</v>
      </c>
      <c r="M82" s="100">
        <v>2000</v>
      </c>
      <c r="N82" s="101">
        <v>3500</v>
      </c>
      <c r="O82" s="102">
        <f t="shared" ref="O82:O87" si="49">N82-K82</f>
        <v>78.590000000000146</v>
      </c>
      <c r="P82" s="103">
        <f t="shared" ref="P82:P87" si="50">N82-M82</f>
        <v>1500</v>
      </c>
      <c r="R82" s="73"/>
      <c r="S82" s="89"/>
      <c r="U82" s="73"/>
      <c r="V82" s="73"/>
      <c r="W82" s="73"/>
      <c r="X82" s="73"/>
      <c r="Y82" s="73"/>
      <c r="Z82" s="73"/>
      <c r="AA82" s="73" t="s">
        <v>57</v>
      </c>
      <c r="AB82" s="73"/>
      <c r="AC82" s="89"/>
      <c r="AE82" s="73"/>
      <c r="AF82" s="73"/>
      <c r="AG82" s="73"/>
      <c r="AH82" s="73"/>
      <c r="AI82" s="73"/>
      <c r="AJ82" s="73"/>
      <c r="AK82" s="73"/>
      <c r="AL82" s="73" t="s">
        <v>58</v>
      </c>
      <c r="AM82" s="150">
        <v>0</v>
      </c>
      <c r="AP82" s="73"/>
      <c r="AQ82" s="73"/>
      <c r="AR82" s="73"/>
      <c r="AS82" s="73"/>
      <c r="AT82" s="73"/>
      <c r="AU82" s="73"/>
      <c r="AV82" s="73" t="s">
        <v>58</v>
      </c>
      <c r="AW82" s="81">
        <v>171.6</v>
      </c>
      <c r="AY82" s="73"/>
      <c r="AZ82" s="73"/>
      <c r="BA82" s="73"/>
      <c r="BB82" s="73"/>
      <c r="BC82" s="73"/>
      <c r="BD82" s="73"/>
      <c r="BE82" s="73" t="s">
        <v>57</v>
      </c>
      <c r="BF82" s="73"/>
      <c r="BG82" s="89"/>
      <c r="BJ82" s="73"/>
      <c r="BK82" s="73"/>
      <c r="BL82" s="73"/>
      <c r="BM82" s="73"/>
      <c r="BN82" s="73"/>
      <c r="BO82" s="73"/>
      <c r="BP82" s="73" t="s">
        <v>58</v>
      </c>
      <c r="BQ82" s="89">
        <v>2050</v>
      </c>
    </row>
    <row r="83" spans="1:69" ht="12" customHeight="1" x14ac:dyDescent="0.2">
      <c r="A83" s="73"/>
      <c r="B83" s="73"/>
      <c r="C83" s="73"/>
      <c r="D83" s="73"/>
      <c r="E83" s="73"/>
      <c r="F83" s="73"/>
      <c r="G83" s="73" t="s">
        <v>251</v>
      </c>
      <c r="H83" s="96">
        <v>927.82</v>
      </c>
      <c r="I83" s="97">
        <v>-13.1</v>
      </c>
      <c r="J83" s="97">
        <v>494.07</v>
      </c>
      <c r="K83" s="98">
        <f t="shared" si="48"/>
        <v>1408.79</v>
      </c>
      <c r="L83" s="125">
        <v>1230</v>
      </c>
      <c r="M83" s="100">
        <v>800</v>
      </c>
      <c r="N83" s="101">
        <v>1500</v>
      </c>
      <c r="O83" s="102">
        <f t="shared" si="49"/>
        <v>91.210000000000036</v>
      </c>
      <c r="P83" s="103">
        <f t="shared" si="50"/>
        <v>700</v>
      </c>
      <c r="R83" s="73"/>
      <c r="S83" s="89"/>
      <c r="U83" s="73"/>
      <c r="V83" s="73"/>
      <c r="W83" s="73"/>
      <c r="X83" s="73"/>
      <c r="Y83" s="73"/>
      <c r="Z83" s="73"/>
      <c r="AA83" s="73"/>
      <c r="AB83" s="73" t="s">
        <v>108</v>
      </c>
      <c r="AC83" s="89">
        <v>2643.89</v>
      </c>
      <c r="AE83" s="73"/>
      <c r="AF83" s="73"/>
      <c r="AG83" s="73"/>
      <c r="AH83" s="73"/>
      <c r="AI83" s="73"/>
      <c r="AJ83" s="73"/>
      <c r="AK83" s="73"/>
      <c r="AL83" s="73" t="s">
        <v>149</v>
      </c>
      <c r="AM83" s="150">
        <v>135</v>
      </c>
      <c r="AP83" s="73"/>
      <c r="AQ83" s="73"/>
      <c r="AR83" s="73"/>
      <c r="AS83" s="73"/>
      <c r="AT83" s="73"/>
      <c r="AU83" s="73"/>
      <c r="AV83" s="73" t="s">
        <v>149</v>
      </c>
      <c r="AW83" s="81">
        <v>0</v>
      </c>
      <c r="AY83" s="73"/>
      <c r="AZ83" s="73"/>
      <c r="BA83" s="73"/>
      <c r="BB83" s="73"/>
      <c r="BC83" s="73"/>
      <c r="BD83" s="73"/>
      <c r="BE83" s="73"/>
      <c r="BF83" s="73" t="s">
        <v>108</v>
      </c>
      <c r="BG83" s="89">
        <v>2000</v>
      </c>
      <c r="BJ83" s="73"/>
      <c r="BK83" s="73"/>
      <c r="BL83" s="73"/>
      <c r="BM83" s="73"/>
      <c r="BN83" s="73"/>
      <c r="BO83" s="73"/>
      <c r="BP83" s="73" t="s">
        <v>149</v>
      </c>
      <c r="BQ83" s="89">
        <v>820</v>
      </c>
    </row>
    <row r="84" spans="1:69" ht="12" customHeight="1" thickBot="1" x14ac:dyDescent="0.25">
      <c r="A84" s="73"/>
      <c r="B84" s="73"/>
      <c r="C84" s="73"/>
      <c r="D84" s="73"/>
      <c r="E84" s="73"/>
      <c r="F84" s="73"/>
      <c r="G84" s="73" t="s">
        <v>252</v>
      </c>
      <c r="H84" s="96">
        <v>392.61</v>
      </c>
      <c r="I84" s="97">
        <v>0</v>
      </c>
      <c r="J84" s="97">
        <v>9.44</v>
      </c>
      <c r="K84" s="98">
        <f t="shared" si="48"/>
        <v>402.05</v>
      </c>
      <c r="L84" s="125">
        <v>1640</v>
      </c>
      <c r="M84" s="100">
        <v>1200</v>
      </c>
      <c r="N84" s="101">
        <v>400</v>
      </c>
      <c r="O84" s="102">
        <f t="shared" si="49"/>
        <v>-2.0500000000000114</v>
      </c>
      <c r="P84" s="103">
        <f t="shared" si="50"/>
        <v>-800</v>
      </c>
      <c r="R84" s="73"/>
      <c r="S84" s="89"/>
      <c r="U84" s="73"/>
      <c r="V84" s="73"/>
      <c r="W84" s="73"/>
      <c r="X84" s="73"/>
      <c r="Y84" s="73"/>
      <c r="Z84" s="73"/>
      <c r="AA84" s="73"/>
      <c r="AB84" s="73" t="s">
        <v>109</v>
      </c>
      <c r="AC84" s="89">
        <v>927.82</v>
      </c>
      <c r="AE84" s="73"/>
      <c r="AF84" s="73"/>
      <c r="AG84" s="73"/>
      <c r="AH84" s="73"/>
      <c r="AI84" s="73"/>
      <c r="AJ84" s="73"/>
      <c r="AK84" s="73"/>
      <c r="AL84" s="73" t="s">
        <v>150</v>
      </c>
      <c r="AM84" s="151">
        <v>248.2</v>
      </c>
      <c r="AP84" s="73"/>
      <c r="AQ84" s="73"/>
      <c r="AR84" s="73"/>
      <c r="AS84" s="73"/>
      <c r="AT84" s="73"/>
      <c r="AU84" s="73"/>
      <c r="AV84" s="73" t="s">
        <v>150</v>
      </c>
      <c r="AW84" s="135">
        <v>529.32000000000005</v>
      </c>
      <c r="AY84" s="73"/>
      <c r="AZ84" s="73"/>
      <c r="BA84" s="73"/>
      <c r="BB84" s="73"/>
      <c r="BC84" s="73"/>
      <c r="BD84" s="73"/>
      <c r="BE84" s="73"/>
      <c r="BF84" s="73" t="s">
        <v>109</v>
      </c>
      <c r="BG84" s="89">
        <v>800</v>
      </c>
      <c r="BJ84" s="73"/>
      <c r="BK84" s="73"/>
      <c r="BL84" s="73"/>
      <c r="BM84" s="73"/>
      <c r="BN84" s="73"/>
      <c r="BO84" s="73"/>
      <c r="BP84" s="73" t="s">
        <v>150</v>
      </c>
      <c r="BQ84" s="136">
        <v>2050</v>
      </c>
    </row>
    <row r="85" spans="1:69" ht="12" customHeight="1" x14ac:dyDescent="0.2">
      <c r="A85" s="73"/>
      <c r="B85" s="73"/>
      <c r="C85" s="73"/>
      <c r="D85" s="73"/>
      <c r="E85" s="73"/>
      <c r="F85" s="73"/>
      <c r="G85" s="73" t="s">
        <v>253</v>
      </c>
      <c r="H85" s="96">
        <v>336.4</v>
      </c>
      <c r="I85" s="97">
        <v>0</v>
      </c>
      <c r="J85" s="97">
        <v>0</v>
      </c>
      <c r="K85" s="98">
        <f t="shared" si="48"/>
        <v>336.4</v>
      </c>
      <c r="L85" s="125">
        <v>210</v>
      </c>
      <c r="M85" s="100">
        <v>1200</v>
      </c>
      <c r="N85" s="101">
        <v>600</v>
      </c>
      <c r="O85" s="102">
        <f t="shared" si="49"/>
        <v>263.60000000000002</v>
      </c>
      <c r="P85" s="103">
        <f t="shared" si="50"/>
        <v>-600</v>
      </c>
      <c r="R85" s="149" t="s">
        <v>243</v>
      </c>
      <c r="S85" s="89"/>
      <c r="U85" s="73"/>
      <c r="V85" s="73"/>
      <c r="W85" s="73"/>
      <c r="X85" s="73"/>
      <c r="Y85" s="73"/>
      <c r="Z85" s="73"/>
      <c r="AA85" s="73"/>
      <c r="AB85" s="73" t="s">
        <v>110</v>
      </c>
      <c r="AC85" s="89">
        <v>392.61</v>
      </c>
      <c r="AE85" s="73"/>
      <c r="AF85" s="73"/>
      <c r="AG85" s="73"/>
      <c r="AH85" s="73"/>
      <c r="AI85" s="73"/>
      <c r="AJ85" s="73"/>
      <c r="AK85" s="73" t="s">
        <v>59</v>
      </c>
      <c r="AL85" s="73"/>
      <c r="AM85" s="81">
        <f>ROUND(SUM(AM78:AM84),5)</f>
        <v>370.1</v>
      </c>
      <c r="AP85" s="73"/>
      <c r="AQ85" s="73"/>
      <c r="AR85" s="73"/>
      <c r="AS85" s="73"/>
      <c r="AT85" s="73"/>
      <c r="AU85" s="73" t="s">
        <v>59</v>
      </c>
      <c r="AV85" s="73"/>
      <c r="AW85" s="81">
        <f>ROUND(SUM(AW78:AW84),5)</f>
        <v>1204.43</v>
      </c>
      <c r="AY85" s="73"/>
      <c r="AZ85" s="73"/>
      <c r="BA85" s="73"/>
      <c r="BB85" s="73"/>
      <c r="BC85" s="73"/>
      <c r="BD85" s="73"/>
      <c r="BE85" s="73"/>
      <c r="BF85" s="73" t="s">
        <v>110</v>
      </c>
      <c r="BG85" s="89">
        <v>1200</v>
      </c>
      <c r="BJ85" s="73"/>
      <c r="BK85" s="73"/>
      <c r="BL85" s="73"/>
      <c r="BM85" s="73"/>
      <c r="BN85" s="73"/>
      <c r="BO85" s="73" t="s">
        <v>59</v>
      </c>
      <c r="BP85" s="73"/>
      <c r="BQ85" s="89">
        <f>ROUND(SUM(BQ78:BQ84),5)</f>
        <v>8000</v>
      </c>
    </row>
    <row r="86" spans="1:69" ht="12" customHeight="1" x14ac:dyDescent="0.2">
      <c r="A86" s="73"/>
      <c r="B86" s="73"/>
      <c r="C86" s="73"/>
      <c r="D86" s="73"/>
      <c r="E86" s="73"/>
      <c r="F86" s="73"/>
      <c r="G86" s="73" t="s">
        <v>254</v>
      </c>
      <c r="H86" s="96">
        <v>843.69</v>
      </c>
      <c r="I86" s="97">
        <v>135</v>
      </c>
      <c r="J86" s="97">
        <v>0</v>
      </c>
      <c r="K86" s="98">
        <f t="shared" si="48"/>
        <v>978.69</v>
      </c>
      <c r="L86" s="125">
        <v>820</v>
      </c>
      <c r="M86" s="100">
        <v>1200</v>
      </c>
      <c r="N86" s="101">
        <v>1000</v>
      </c>
      <c r="O86" s="102">
        <f t="shared" si="49"/>
        <v>21.309999999999945</v>
      </c>
      <c r="P86" s="103">
        <f t="shared" si="50"/>
        <v>-200</v>
      </c>
      <c r="R86" s="73"/>
      <c r="S86" s="89"/>
      <c r="U86" s="73"/>
      <c r="V86" s="73"/>
      <c r="W86" s="73"/>
      <c r="X86" s="73"/>
      <c r="Y86" s="73"/>
      <c r="Z86" s="73"/>
      <c r="AA86" s="73"/>
      <c r="AB86" s="73" t="s">
        <v>132</v>
      </c>
      <c r="AC86" s="89">
        <v>336.4</v>
      </c>
      <c r="AE86" s="73"/>
      <c r="AF86" s="73"/>
      <c r="AG86" s="73"/>
      <c r="AH86" s="73"/>
      <c r="AI86" s="73"/>
      <c r="AJ86" s="73"/>
      <c r="AK86" s="73" t="s">
        <v>60</v>
      </c>
      <c r="AL86" s="73"/>
      <c r="AM86" s="81"/>
      <c r="AP86" s="73"/>
      <c r="AQ86" s="73"/>
      <c r="AR86" s="73"/>
      <c r="AS86" s="73"/>
      <c r="AT86" s="73"/>
      <c r="AU86" s="73" t="s">
        <v>60</v>
      </c>
      <c r="AV86" s="73"/>
      <c r="AW86" s="81"/>
      <c r="AY86" s="73"/>
      <c r="AZ86" s="73"/>
      <c r="BA86" s="73"/>
      <c r="BB86" s="73"/>
      <c r="BC86" s="73"/>
      <c r="BD86" s="73"/>
      <c r="BE86" s="73"/>
      <c r="BF86" s="73" t="s">
        <v>132</v>
      </c>
      <c r="BG86" s="89">
        <v>1200</v>
      </c>
      <c r="BJ86" s="73"/>
      <c r="BK86" s="73"/>
      <c r="BL86" s="73"/>
      <c r="BM86" s="73"/>
      <c r="BN86" s="73"/>
      <c r="BO86" s="73" t="s">
        <v>60</v>
      </c>
      <c r="BP86" s="73"/>
      <c r="BQ86" s="89"/>
    </row>
    <row r="87" spans="1:69" ht="12" customHeight="1" thickBot="1" x14ac:dyDescent="0.25">
      <c r="A87" s="73"/>
      <c r="B87" s="106"/>
      <c r="C87" s="106"/>
      <c r="D87" s="106"/>
      <c r="E87" s="106"/>
      <c r="F87" s="106"/>
      <c r="G87" s="107" t="s">
        <v>255</v>
      </c>
      <c r="H87" s="127">
        <v>2067.41</v>
      </c>
      <c r="I87" s="128">
        <v>0</v>
      </c>
      <c r="J87" s="128">
        <v>171.6</v>
      </c>
      <c r="K87" s="129">
        <f t="shared" si="48"/>
        <v>2239.0099999999998</v>
      </c>
      <c r="L87" s="130">
        <v>2050</v>
      </c>
      <c r="M87" s="131">
        <v>2000</v>
      </c>
      <c r="N87" s="132">
        <v>2200</v>
      </c>
      <c r="O87" s="133">
        <f t="shared" si="49"/>
        <v>-39.009999999999764</v>
      </c>
      <c r="P87" s="134">
        <f t="shared" si="50"/>
        <v>200</v>
      </c>
      <c r="R87" s="73"/>
      <c r="S87" s="89"/>
      <c r="U87" s="73"/>
      <c r="V87" s="73"/>
      <c r="W87" s="73"/>
      <c r="X87" s="73"/>
      <c r="Y87" s="73"/>
      <c r="Z87" s="73"/>
      <c r="AA87" s="73"/>
      <c r="AB87" s="73" t="s">
        <v>126</v>
      </c>
      <c r="AC87" s="89">
        <v>843.69</v>
      </c>
      <c r="AE87" s="73"/>
      <c r="AF87" s="73"/>
      <c r="AG87" s="73"/>
      <c r="AH87" s="73"/>
      <c r="AI87" s="73"/>
      <c r="AJ87" s="73"/>
      <c r="AK87" s="73"/>
      <c r="AL87" s="73" t="s">
        <v>61</v>
      </c>
      <c r="AM87" s="81">
        <v>4677.8</v>
      </c>
      <c r="AP87" s="73"/>
      <c r="AQ87" s="73"/>
      <c r="AR87" s="73"/>
      <c r="AS87" s="73"/>
      <c r="AT87" s="73"/>
      <c r="AU87" s="73"/>
      <c r="AV87" s="73" t="s">
        <v>61</v>
      </c>
      <c r="AW87" s="81">
        <v>2750</v>
      </c>
      <c r="AY87" s="73"/>
      <c r="AZ87" s="73"/>
      <c r="BA87" s="73"/>
      <c r="BB87" s="73"/>
      <c r="BC87" s="73"/>
      <c r="BD87" s="73"/>
      <c r="BE87" s="73"/>
      <c r="BF87" s="73" t="s">
        <v>126</v>
      </c>
      <c r="BG87" s="89">
        <v>1200</v>
      </c>
      <c r="BJ87" s="73"/>
      <c r="BK87" s="73"/>
      <c r="BL87" s="73"/>
      <c r="BM87" s="73"/>
      <c r="BN87" s="73"/>
      <c r="BO87" s="73"/>
      <c r="BP87" s="73" t="s">
        <v>61</v>
      </c>
      <c r="BQ87" s="89">
        <v>9300</v>
      </c>
    </row>
    <row r="88" spans="1:69" ht="12" customHeight="1" thickBot="1" x14ac:dyDescent="0.25">
      <c r="A88" s="73"/>
      <c r="B88" s="137"/>
      <c r="C88" s="137"/>
      <c r="D88" s="137"/>
      <c r="E88" s="137"/>
      <c r="F88" s="137" t="s">
        <v>59</v>
      </c>
      <c r="G88" s="137"/>
      <c r="H88" s="138">
        <f>ROUND(SUM(H81:H87),5)</f>
        <v>7211.82</v>
      </c>
      <c r="I88" s="139">
        <f t="shared" ref="I88:P88" si="51">ROUND(SUM(I81:I87),5)</f>
        <v>370.1</v>
      </c>
      <c r="J88" s="139">
        <f t="shared" si="51"/>
        <v>1204.43</v>
      </c>
      <c r="K88" s="139">
        <f t="shared" si="51"/>
        <v>8786.35</v>
      </c>
      <c r="L88" s="138">
        <f t="shared" si="51"/>
        <v>8000</v>
      </c>
      <c r="M88" s="139">
        <f t="shared" si="51"/>
        <v>8400</v>
      </c>
      <c r="N88" s="140">
        <f t="shared" si="51"/>
        <v>9200</v>
      </c>
      <c r="O88" s="139">
        <f t="shared" si="51"/>
        <v>413.65</v>
      </c>
      <c r="P88" s="140">
        <f t="shared" si="51"/>
        <v>800</v>
      </c>
      <c r="R88" s="73"/>
      <c r="S88" s="89"/>
      <c r="U88" s="73"/>
      <c r="V88" s="73"/>
      <c r="W88" s="73"/>
      <c r="X88" s="73"/>
      <c r="Y88" s="73"/>
      <c r="Z88" s="73"/>
      <c r="AA88" s="73"/>
      <c r="AB88" s="73" t="s">
        <v>58</v>
      </c>
      <c r="AC88" s="136">
        <v>2067.41</v>
      </c>
      <c r="AE88" s="73"/>
      <c r="AF88" s="73"/>
      <c r="AG88" s="73"/>
      <c r="AH88" s="73"/>
      <c r="AI88" s="73"/>
      <c r="AJ88" s="73"/>
      <c r="AK88" s="73"/>
      <c r="AL88" s="73" t="s">
        <v>164</v>
      </c>
      <c r="AM88" s="81">
        <v>0</v>
      </c>
      <c r="AP88" s="73"/>
      <c r="AQ88" s="73"/>
      <c r="AR88" s="73"/>
      <c r="AS88" s="73"/>
      <c r="AT88" s="73"/>
      <c r="AU88" s="73"/>
      <c r="AV88" s="73" t="s">
        <v>164</v>
      </c>
      <c r="AW88" s="81">
        <v>0</v>
      </c>
      <c r="AY88" s="73"/>
      <c r="AZ88" s="73"/>
      <c r="BA88" s="73"/>
      <c r="BB88" s="73"/>
      <c r="BC88" s="73"/>
      <c r="BD88" s="73"/>
      <c r="BE88" s="73"/>
      <c r="BF88" s="73" t="s">
        <v>58</v>
      </c>
      <c r="BG88" s="136">
        <v>2000</v>
      </c>
      <c r="BJ88" s="73"/>
      <c r="BK88" s="73"/>
      <c r="BL88" s="73"/>
      <c r="BM88" s="73"/>
      <c r="BN88" s="73"/>
      <c r="BO88" s="73"/>
      <c r="BP88" s="73" t="s">
        <v>164</v>
      </c>
      <c r="BQ88" s="89">
        <v>3600</v>
      </c>
    </row>
    <row r="89" spans="1:69" ht="12" customHeight="1" x14ac:dyDescent="0.2">
      <c r="A89" s="73"/>
      <c r="B89" s="73"/>
      <c r="C89" s="73"/>
      <c r="D89" s="73"/>
      <c r="E89" s="73"/>
      <c r="F89" s="73" t="s">
        <v>256</v>
      </c>
      <c r="G89" s="73"/>
      <c r="H89" s="122"/>
      <c r="I89" s="123"/>
      <c r="J89" s="123"/>
      <c r="K89" s="123"/>
      <c r="L89" s="125">
        <v>3600</v>
      </c>
      <c r="M89" s="123"/>
      <c r="N89" s="124"/>
      <c r="O89" s="123"/>
      <c r="P89" s="124"/>
      <c r="R89" s="73"/>
      <c r="S89" s="89"/>
      <c r="U89" s="73"/>
      <c r="V89" s="73"/>
      <c r="W89" s="73"/>
      <c r="X89" s="73"/>
      <c r="Y89" s="73"/>
      <c r="Z89" s="73"/>
      <c r="AA89" s="73" t="s">
        <v>59</v>
      </c>
      <c r="AB89" s="73"/>
      <c r="AC89" s="89">
        <f>ROUND(SUM(AC82:AC88),5)</f>
        <v>7211.82</v>
      </c>
      <c r="AE89" s="73"/>
      <c r="AF89" s="73"/>
      <c r="AG89" s="73"/>
      <c r="AH89" s="73"/>
      <c r="AI89" s="73"/>
      <c r="AJ89" s="73"/>
      <c r="AK89" s="73"/>
      <c r="AL89" s="73" t="s">
        <v>62</v>
      </c>
      <c r="AM89" s="81">
        <v>3180</v>
      </c>
      <c r="AP89" s="73"/>
      <c r="AQ89" s="73"/>
      <c r="AR89" s="73"/>
      <c r="AS89" s="73"/>
      <c r="AT89" s="73"/>
      <c r="AU89" s="73"/>
      <c r="AV89" s="73" t="s">
        <v>62</v>
      </c>
      <c r="AW89" s="81">
        <v>3180</v>
      </c>
      <c r="AY89" s="73"/>
      <c r="AZ89" s="73"/>
      <c r="BA89" s="73"/>
      <c r="BB89" s="73"/>
      <c r="BC89" s="73"/>
      <c r="BD89" s="73"/>
      <c r="BE89" s="73" t="s">
        <v>59</v>
      </c>
      <c r="BF89" s="73"/>
      <c r="BG89" s="89">
        <f>ROUND(SUM(BG82:BG88),5)</f>
        <v>8400</v>
      </c>
      <c r="BJ89" s="73"/>
      <c r="BK89" s="73"/>
      <c r="BL89" s="73"/>
      <c r="BM89" s="73"/>
      <c r="BN89" s="73"/>
      <c r="BO89" s="73"/>
      <c r="BP89" s="73" t="s">
        <v>62</v>
      </c>
      <c r="BQ89" s="89">
        <v>38160</v>
      </c>
    </row>
    <row r="90" spans="1:69" ht="12" customHeight="1" x14ac:dyDescent="0.2">
      <c r="A90" s="73"/>
      <c r="B90" s="73"/>
      <c r="C90" s="73"/>
      <c r="D90" s="73"/>
      <c r="E90" s="73"/>
      <c r="F90" s="73"/>
      <c r="G90" s="73" t="s">
        <v>61</v>
      </c>
      <c r="H90" s="96">
        <v>-6135.61</v>
      </c>
      <c r="I90" s="97">
        <v>4677.8</v>
      </c>
      <c r="J90" s="97">
        <v>2750</v>
      </c>
      <c r="K90" s="98">
        <f t="shared" ref="K90:K100" si="52">SUM(H90:J90)</f>
        <v>1292.1900000000005</v>
      </c>
      <c r="L90" s="125">
        <v>9300</v>
      </c>
      <c r="M90" s="100">
        <v>3000</v>
      </c>
      <c r="N90" s="101">
        <v>3000</v>
      </c>
      <c r="O90" s="102">
        <f t="shared" ref="O90:O100" si="53">N90-K90</f>
        <v>1707.8099999999995</v>
      </c>
      <c r="P90" s="103">
        <f t="shared" ref="P90:P100" si="54">N90-M90</f>
        <v>0</v>
      </c>
      <c r="R90" s="73"/>
      <c r="S90" s="89"/>
      <c r="U90" s="73"/>
      <c r="V90" s="73"/>
      <c r="W90" s="73"/>
      <c r="X90" s="73"/>
      <c r="Y90" s="73"/>
      <c r="Z90" s="73"/>
      <c r="AA90" s="73" t="s">
        <v>60</v>
      </c>
      <c r="AB90" s="73"/>
      <c r="AC90" s="89"/>
      <c r="AE90" s="73"/>
      <c r="AF90" s="73"/>
      <c r="AG90" s="73"/>
      <c r="AH90" s="73"/>
      <c r="AI90" s="73"/>
      <c r="AJ90" s="73"/>
      <c r="AK90" s="73"/>
      <c r="AL90" s="73" t="s">
        <v>63</v>
      </c>
      <c r="AM90" s="81">
        <v>5115</v>
      </c>
      <c r="AP90" s="73"/>
      <c r="AQ90" s="73"/>
      <c r="AR90" s="73"/>
      <c r="AS90" s="73"/>
      <c r="AT90" s="73"/>
      <c r="AU90" s="73"/>
      <c r="AV90" s="73" t="s">
        <v>63</v>
      </c>
      <c r="AW90" s="81">
        <v>5116</v>
      </c>
      <c r="AY90" s="73"/>
      <c r="AZ90" s="73"/>
      <c r="BA90" s="73"/>
      <c r="BB90" s="73"/>
      <c r="BC90" s="73"/>
      <c r="BD90" s="73"/>
      <c r="BE90" s="73" t="s">
        <v>60</v>
      </c>
      <c r="BF90" s="73"/>
      <c r="BG90" s="89"/>
      <c r="BJ90" s="73"/>
      <c r="BK90" s="73"/>
      <c r="BL90" s="73"/>
      <c r="BM90" s="73"/>
      <c r="BN90" s="73"/>
      <c r="BO90" s="73"/>
      <c r="BP90" s="73" t="s">
        <v>63</v>
      </c>
      <c r="BQ90" s="89">
        <v>61381</v>
      </c>
    </row>
    <row r="91" spans="1:69" ht="12" customHeight="1" x14ac:dyDescent="0.2">
      <c r="A91" s="73"/>
      <c r="B91" s="73"/>
      <c r="C91" s="73"/>
      <c r="D91" s="73"/>
      <c r="E91" s="73"/>
      <c r="F91" s="73"/>
      <c r="G91" s="73" t="s">
        <v>62</v>
      </c>
      <c r="H91" s="96">
        <v>30210</v>
      </c>
      <c r="I91" s="97">
        <v>3021</v>
      </c>
      <c r="J91" s="97">
        <v>3021</v>
      </c>
      <c r="K91" s="98">
        <f t="shared" si="52"/>
        <v>36252</v>
      </c>
      <c r="L91" s="125">
        <v>38160</v>
      </c>
      <c r="M91" s="100">
        <v>36252</v>
      </c>
      <c r="N91" s="101">
        <v>36252</v>
      </c>
      <c r="O91" s="102">
        <f t="shared" si="53"/>
        <v>0</v>
      </c>
      <c r="P91" s="103">
        <f t="shared" si="54"/>
        <v>0</v>
      </c>
      <c r="R91" s="73"/>
      <c r="S91" s="89"/>
      <c r="U91" s="73"/>
      <c r="V91" s="73"/>
      <c r="W91" s="73"/>
      <c r="X91" s="73"/>
      <c r="Y91" s="73"/>
      <c r="Z91" s="73"/>
      <c r="AA91" s="73"/>
      <c r="AB91" s="73" t="s">
        <v>61</v>
      </c>
      <c r="AC91" s="89">
        <v>-6135.61</v>
      </c>
      <c r="AE91" s="73"/>
      <c r="AF91" s="73"/>
      <c r="AG91" s="73"/>
      <c r="AH91" s="73"/>
      <c r="AI91" s="73"/>
      <c r="AJ91" s="73"/>
      <c r="AK91" s="73"/>
      <c r="AL91" s="73" t="s">
        <v>64</v>
      </c>
      <c r="AM91" s="81">
        <v>350</v>
      </c>
      <c r="AP91" s="73"/>
      <c r="AQ91" s="73"/>
      <c r="AR91" s="73"/>
      <c r="AS91" s="73"/>
      <c r="AT91" s="73"/>
      <c r="AU91" s="73"/>
      <c r="AV91" s="73" t="s">
        <v>64</v>
      </c>
      <c r="AW91" s="81">
        <v>350</v>
      </c>
      <c r="AY91" s="73"/>
      <c r="AZ91" s="73"/>
      <c r="BA91" s="73"/>
      <c r="BB91" s="73"/>
      <c r="BC91" s="73"/>
      <c r="BD91" s="73"/>
      <c r="BE91" s="73"/>
      <c r="BF91" s="73" t="s">
        <v>61</v>
      </c>
      <c r="BG91" s="89">
        <v>3000</v>
      </c>
      <c r="BJ91" s="73"/>
      <c r="BK91" s="73"/>
      <c r="BL91" s="73"/>
      <c r="BM91" s="73"/>
      <c r="BN91" s="73"/>
      <c r="BO91" s="73"/>
      <c r="BP91" s="73" t="s">
        <v>64</v>
      </c>
      <c r="BQ91" s="89">
        <v>4200</v>
      </c>
    </row>
    <row r="92" spans="1:69" ht="12" customHeight="1" x14ac:dyDescent="0.2">
      <c r="A92" s="73"/>
      <c r="B92" s="73"/>
      <c r="C92" s="73"/>
      <c r="D92" s="73"/>
      <c r="E92" s="73"/>
      <c r="F92" s="73"/>
      <c r="G92" s="73" t="s">
        <v>63</v>
      </c>
      <c r="H92" s="96">
        <v>48590</v>
      </c>
      <c r="I92" s="97">
        <v>4859</v>
      </c>
      <c r="J92" s="97">
        <v>4859</v>
      </c>
      <c r="K92" s="98">
        <f t="shared" si="52"/>
        <v>58308</v>
      </c>
      <c r="L92" s="125">
        <v>61381</v>
      </c>
      <c r="M92" s="100">
        <v>58312</v>
      </c>
      <c r="N92" s="101">
        <v>60000</v>
      </c>
      <c r="O92" s="102">
        <f t="shared" si="53"/>
        <v>1692</v>
      </c>
      <c r="P92" s="103">
        <f t="shared" si="54"/>
        <v>1688</v>
      </c>
      <c r="R92" s="149" t="s">
        <v>244</v>
      </c>
      <c r="S92" s="89"/>
      <c r="U92" s="73"/>
      <c r="V92" s="73"/>
      <c r="W92" s="73"/>
      <c r="X92" s="73"/>
      <c r="Y92" s="73"/>
      <c r="Z92" s="73"/>
      <c r="AA92" s="73"/>
      <c r="AB92" s="73" t="s">
        <v>62</v>
      </c>
      <c r="AC92" s="89">
        <v>30210</v>
      </c>
      <c r="AE92" s="73"/>
      <c r="AF92" s="73"/>
      <c r="AG92" s="73"/>
      <c r="AH92" s="73"/>
      <c r="AI92" s="73"/>
      <c r="AJ92" s="73"/>
      <c r="AK92" s="73"/>
      <c r="AL92" s="73" t="s">
        <v>65</v>
      </c>
      <c r="AM92" s="81">
        <v>1217</v>
      </c>
      <c r="AP92" s="73"/>
      <c r="AQ92" s="73"/>
      <c r="AR92" s="73"/>
      <c r="AS92" s="73"/>
      <c r="AT92" s="73"/>
      <c r="AU92" s="73"/>
      <c r="AV92" s="73" t="s">
        <v>65</v>
      </c>
      <c r="AW92" s="81">
        <v>1213</v>
      </c>
      <c r="AY92" s="73"/>
      <c r="AZ92" s="73"/>
      <c r="BA92" s="73"/>
      <c r="BB92" s="73"/>
      <c r="BC92" s="73"/>
      <c r="BD92" s="73"/>
      <c r="BE92" s="73"/>
      <c r="BF92" s="73" t="s">
        <v>62</v>
      </c>
      <c r="BG92" s="89">
        <v>36252</v>
      </c>
      <c r="BJ92" s="73"/>
      <c r="BK92" s="73"/>
      <c r="BL92" s="73"/>
      <c r="BM92" s="73"/>
      <c r="BN92" s="73"/>
      <c r="BO92" s="73"/>
      <c r="BP92" s="73" t="s">
        <v>65</v>
      </c>
      <c r="BQ92" s="89">
        <v>14600</v>
      </c>
    </row>
    <row r="93" spans="1:69" ht="12" customHeight="1" x14ac:dyDescent="0.2">
      <c r="A93" s="73"/>
      <c r="B93" s="73"/>
      <c r="C93" s="73"/>
      <c r="D93" s="73"/>
      <c r="E93" s="73"/>
      <c r="F93" s="73"/>
      <c r="G93" s="73"/>
      <c r="H93" s="96"/>
      <c r="I93" s="97"/>
      <c r="J93" s="97"/>
      <c r="K93" s="98"/>
      <c r="L93" s="125">
        <v>0</v>
      </c>
      <c r="M93" s="100">
        <v>0</v>
      </c>
      <c r="N93" s="101">
        <v>-36000</v>
      </c>
      <c r="O93" s="102">
        <f t="shared" ref="O93" si="55">N93-K93</f>
        <v>-36000</v>
      </c>
      <c r="P93" s="103">
        <f t="shared" ref="P93" si="56">N93-M93</f>
        <v>-36000</v>
      </c>
      <c r="R93" s="149" t="s">
        <v>245</v>
      </c>
      <c r="S93" s="89"/>
      <c r="U93" s="73"/>
      <c r="V93" s="73"/>
      <c r="W93" s="73"/>
      <c r="X93" s="73"/>
      <c r="Y93" s="73"/>
      <c r="Z93" s="73"/>
      <c r="AA93" s="73"/>
      <c r="AB93" s="73"/>
      <c r="AC93" s="89"/>
      <c r="AE93" s="73"/>
      <c r="AF93" s="73"/>
      <c r="AG93" s="73"/>
      <c r="AH93" s="73"/>
      <c r="AI93" s="73"/>
      <c r="AJ93" s="73"/>
      <c r="AK93" s="73"/>
      <c r="AL93" s="73"/>
      <c r="AM93" s="81"/>
      <c r="AP93" s="73"/>
      <c r="AQ93" s="73"/>
      <c r="AR93" s="73"/>
      <c r="AS93" s="73"/>
      <c r="AT93" s="73"/>
      <c r="AU93" s="73"/>
      <c r="AV93" s="73"/>
      <c r="AW93" s="81"/>
      <c r="AY93" s="73"/>
      <c r="AZ93" s="73"/>
      <c r="BA93" s="73"/>
      <c r="BB93" s="73"/>
      <c r="BC93" s="73"/>
      <c r="BD93" s="73"/>
      <c r="BE93" s="73"/>
      <c r="BF93" s="73"/>
      <c r="BG93" s="89"/>
      <c r="BJ93" s="73"/>
      <c r="BK93" s="73"/>
      <c r="BL93" s="73"/>
      <c r="BM93" s="73"/>
      <c r="BN93" s="73"/>
      <c r="BO93" s="73"/>
      <c r="BP93" s="73"/>
      <c r="BQ93" s="89"/>
    </row>
    <row r="94" spans="1:69" ht="12" customHeight="1" x14ac:dyDescent="0.2">
      <c r="A94" s="73"/>
      <c r="B94" s="73"/>
      <c r="C94" s="73"/>
      <c r="D94" s="73"/>
      <c r="E94" s="73"/>
      <c r="F94" s="73"/>
      <c r="G94" s="73" t="s">
        <v>64</v>
      </c>
      <c r="H94" s="96">
        <v>3330</v>
      </c>
      <c r="I94" s="97">
        <v>333</v>
      </c>
      <c r="J94" s="97">
        <v>333</v>
      </c>
      <c r="K94" s="98">
        <f t="shared" si="52"/>
        <v>3996</v>
      </c>
      <c r="L94" s="125">
        <v>4200</v>
      </c>
      <c r="M94" s="100">
        <v>3990</v>
      </c>
      <c r="N94" s="101">
        <f>333*12</f>
        <v>3996</v>
      </c>
      <c r="O94" s="102">
        <f t="shared" si="53"/>
        <v>0</v>
      </c>
      <c r="P94" s="103">
        <f t="shared" si="54"/>
        <v>6</v>
      </c>
      <c r="R94" s="152"/>
      <c r="S94" s="89"/>
      <c r="U94" s="73"/>
      <c r="V94" s="73"/>
      <c r="W94" s="73"/>
      <c r="X94" s="73"/>
      <c r="Y94" s="73"/>
      <c r="Z94" s="73"/>
      <c r="AA94" s="73"/>
      <c r="AB94" s="73" t="s">
        <v>63</v>
      </c>
      <c r="AC94" s="89">
        <v>48590</v>
      </c>
      <c r="AE94" s="73"/>
      <c r="AF94" s="73"/>
      <c r="AG94" s="73"/>
      <c r="AH94" s="73"/>
      <c r="AI94" s="73"/>
      <c r="AJ94" s="73"/>
      <c r="AK94" s="73"/>
      <c r="AL94" s="73" t="s">
        <v>120</v>
      </c>
      <c r="AM94" s="81">
        <v>1166</v>
      </c>
      <c r="AP94" s="73"/>
      <c r="AQ94" s="73"/>
      <c r="AR94" s="73"/>
      <c r="AS94" s="73"/>
      <c r="AT94" s="73"/>
      <c r="AU94" s="73"/>
      <c r="AV94" s="73" t="s">
        <v>120</v>
      </c>
      <c r="AW94" s="81">
        <v>1174</v>
      </c>
      <c r="AY94" s="73"/>
      <c r="AZ94" s="73"/>
      <c r="BA94" s="73"/>
      <c r="BB94" s="73"/>
      <c r="BC94" s="73"/>
      <c r="BD94" s="73"/>
      <c r="BE94" s="73"/>
      <c r="BF94" s="73" t="s">
        <v>63</v>
      </c>
      <c r="BG94" s="89">
        <v>58312</v>
      </c>
      <c r="BJ94" s="73"/>
      <c r="BK94" s="73"/>
      <c r="BL94" s="73"/>
      <c r="BM94" s="73"/>
      <c r="BN94" s="73"/>
      <c r="BO94" s="73"/>
      <c r="BP94" s="73" t="s">
        <v>120</v>
      </c>
      <c r="BQ94" s="89">
        <v>14000</v>
      </c>
    </row>
    <row r="95" spans="1:69" ht="12" customHeight="1" x14ac:dyDescent="0.2">
      <c r="A95" s="73"/>
      <c r="B95" s="73"/>
      <c r="C95" s="73"/>
      <c r="D95" s="73"/>
      <c r="E95" s="73"/>
      <c r="F95" s="73"/>
      <c r="G95" s="73" t="s">
        <v>112</v>
      </c>
      <c r="H95" s="96">
        <v>3000</v>
      </c>
      <c r="I95" s="97">
        <v>300</v>
      </c>
      <c r="J95" s="97">
        <v>300</v>
      </c>
      <c r="K95" s="98">
        <f t="shared" si="52"/>
        <v>3600</v>
      </c>
      <c r="L95" s="125"/>
      <c r="M95" s="100">
        <v>3600</v>
      </c>
      <c r="N95" s="101">
        <v>3600</v>
      </c>
      <c r="O95" s="102">
        <f t="shared" si="53"/>
        <v>0</v>
      </c>
      <c r="P95" s="103">
        <f t="shared" si="54"/>
        <v>0</v>
      </c>
      <c r="R95" s="152"/>
      <c r="S95" s="89"/>
      <c r="U95" s="73"/>
      <c r="V95" s="73"/>
      <c r="W95" s="73"/>
      <c r="X95" s="73"/>
      <c r="Y95" s="73"/>
      <c r="Z95" s="73"/>
      <c r="AA95" s="73"/>
      <c r="AB95" s="73" t="s">
        <v>64</v>
      </c>
      <c r="AC95" s="89">
        <v>3330</v>
      </c>
      <c r="AE95" s="73"/>
      <c r="AF95" s="73"/>
      <c r="AG95" s="73"/>
      <c r="AH95" s="73"/>
      <c r="AI95" s="73"/>
      <c r="AJ95" s="73"/>
      <c r="AK95" s="73"/>
      <c r="AL95" s="73" t="s">
        <v>93</v>
      </c>
      <c r="AM95" s="81">
        <v>0</v>
      </c>
      <c r="AP95" s="73"/>
      <c r="AQ95" s="73"/>
      <c r="AR95" s="73"/>
      <c r="AS95" s="73"/>
      <c r="AT95" s="73"/>
      <c r="AU95" s="73"/>
      <c r="AV95" s="73" t="s">
        <v>93</v>
      </c>
      <c r="AW95" s="81">
        <v>0</v>
      </c>
      <c r="AY95" s="73"/>
      <c r="AZ95" s="73"/>
      <c r="BA95" s="73"/>
      <c r="BB95" s="73"/>
      <c r="BC95" s="73"/>
      <c r="BD95" s="73"/>
      <c r="BE95" s="73"/>
      <c r="BF95" s="73" t="s">
        <v>64</v>
      </c>
      <c r="BG95" s="89">
        <v>3990</v>
      </c>
      <c r="BJ95" s="73"/>
      <c r="BK95" s="73"/>
      <c r="BL95" s="73"/>
      <c r="BM95" s="73"/>
      <c r="BN95" s="73"/>
      <c r="BO95" s="73"/>
      <c r="BP95" s="73" t="s">
        <v>93</v>
      </c>
      <c r="BQ95" s="89">
        <v>8000</v>
      </c>
    </row>
    <row r="96" spans="1:69" ht="12" customHeight="1" thickBot="1" x14ac:dyDescent="0.25">
      <c r="A96" s="73"/>
      <c r="B96" s="73"/>
      <c r="C96" s="73"/>
      <c r="D96" s="73"/>
      <c r="E96" s="73"/>
      <c r="F96" s="73"/>
      <c r="G96" s="73" t="s">
        <v>113</v>
      </c>
      <c r="H96" s="96">
        <v>2000</v>
      </c>
      <c r="I96" s="97">
        <v>200</v>
      </c>
      <c r="J96" s="97">
        <v>200</v>
      </c>
      <c r="K96" s="98">
        <f t="shared" si="52"/>
        <v>2400</v>
      </c>
      <c r="L96" s="125"/>
      <c r="M96" s="100">
        <v>2400</v>
      </c>
      <c r="N96" s="101">
        <v>2400</v>
      </c>
      <c r="O96" s="102">
        <f t="shared" si="53"/>
        <v>0</v>
      </c>
      <c r="P96" s="103">
        <f t="shared" si="54"/>
        <v>0</v>
      </c>
      <c r="R96" s="152"/>
      <c r="S96" s="89"/>
      <c r="U96" s="73"/>
      <c r="V96" s="73"/>
      <c r="W96" s="73"/>
      <c r="X96" s="73"/>
      <c r="Y96" s="73"/>
      <c r="Z96" s="73"/>
      <c r="AA96" s="73"/>
      <c r="AB96" s="73" t="s">
        <v>118</v>
      </c>
      <c r="AC96" s="89">
        <v>3000</v>
      </c>
      <c r="AE96" s="73"/>
      <c r="AF96" s="73"/>
      <c r="AG96" s="73"/>
      <c r="AH96" s="73"/>
      <c r="AI96" s="73"/>
      <c r="AJ96" s="73"/>
      <c r="AK96" s="73"/>
      <c r="AL96" s="73" t="s">
        <v>127</v>
      </c>
      <c r="AM96" s="135">
        <v>130</v>
      </c>
      <c r="AP96" s="73"/>
      <c r="AQ96" s="73"/>
      <c r="AR96" s="73"/>
      <c r="AS96" s="73"/>
      <c r="AT96" s="73"/>
      <c r="AU96" s="73"/>
      <c r="AV96" s="73" t="s">
        <v>127</v>
      </c>
      <c r="AW96" s="135">
        <v>130</v>
      </c>
      <c r="AY96" s="73"/>
      <c r="AZ96" s="73"/>
      <c r="BA96" s="73"/>
      <c r="BB96" s="73"/>
      <c r="BC96" s="73"/>
      <c r="BD96" s="73"/>
      <c r="BE96" s="73"/>
      <c r="BF96" s="73" t="s">
        <v>118</v>
      </c>
      <c r="BG96" s="89">
        <v>3600</v>
      </c>
      <c r="BJ96" s="73"/>
      <c r="BK96" s="73"/>
      <c r="BL96" s="73"/>
      <c r="BM96" s="73"/>
      <c r="BN96" s="73"/>
      <c r="BO96" s="73"/>
      <c r="BP96" s="73" t="s">
        <v>127</v>
      </c>
      <c r="BQ96" s="136">
        <v>3000</v>
      </c>
    </row>
    <row r="97" spans="1:69" ht="12" customHeight="1" x14ac:dyDescent="0.2">
      <c r="A97" s="73"/>
      <c r="B97" s="73"/>
      <c r="C97" s="73"/>
      <c r="D97" s="73"/>
      <c r="E97" s="73"/>
      <c r="F97" s="73"/>
      <c r="G97" s="73" t="s">
        <v>65</v>
      </c>
      <c r="H97" s="96">
        <v>12500</v>
      </c>
      <c r="I97" s="97">
        <v>1250</v>
      </c>
      <c r="J97" s="97">
        <v>1250</v>
      </c>
      <c r="K97" s="98">
        <f t="shared" si="52"/>
        <v>15000</v>
      </c>
      <c r="L97" s="125">
        <v>14600</v>
      </c>
      <c r="M97" s="100">
        <v>15000</v>
      </c>
      <c r="N97" s="101">
        <v>15000</v>
      </c>
      <c r="O97" s="102">
        <f t="shared" si="53"/>
        <v>0</v>
      </c>
      <c r="P97" s="103">
        <f t="shared" si="54"/>
        <v>0</v>
      </c>
      <c r="R97" s="152"/>
      <c r="S97" s="89"/>
      <c r="U97" s="73"/>
      <c r="V97" s="73"/>
      <c r="W97" s="73"/>
      <c r="X97" s="73"/>
      <c r="Y97" s="73"/>
      <c r="Z97" s="73"/>
      <c r="AA97" s="73"/>
      <c r="AB97" s="73" t="s">
        <v>119</v>
      </c>
      <c r="AC97" s="89">
        <v>2000</v>
      </c>
      <c r="AE97" s="73"/>
      <c r="AF97" s="73"/>
      <c r="AG97" s="73"/>
      <c r="AH97" s="73"/>
      <c r="AI97" s="73"/>
      <c r="AJ97" s="73"/>
      <c r="AK97" s="73" t="s">
        <v>66</v>
      </c>
      <c r="AL97" s="73"/>
      <c r="AM97" s="81">
        <f>ROUND(SUM(AM86:AM96),5)</f>
        <v>15835.8</v>
      </c>
      <c r="AP97" s="73"/>
      <c r="AQ97" s="73"/>
      <c r="AR97" s="73"/>
      <c r="AS97" s="73"/>
      <c r="AT97" s="73"/>
      <c r="AU97" s="73" t="s">
        <v>66</v>
      </c>
      <c r="AV97" s="73"/>
      <c r="AW97" s="81">
        <f>ROUND(SUM(AW86:AW96),5)</f>
        <v>13913</v>
      </c>
      <c r="AY97" s="73"/>
      <c r="AZ97" s="73"/>
      <c r="BA97" s="73"/>
      <c r="BB97" s="73"/>
      <c r="BC97" s="73"/>
      <c r="BD97" s="73"/>
      <c r="BE97" s="73"/>
      <c r="BF97" s="73" t="s">
        <v>119</v>
      </c>
      <c r="BG97" s="89">
        <v>2400</v>
      </c>
      <c r="BJ97" s="73"/>
      <c r="BK97" s="73"/>
      <c r="BL97" s="73"/>
      <c r="BM97" s="73"/>
      <c r="BN97" s="73"/>
      <c r="BO97" s="73" t="s">
        <v>66</v>
      </c>
      <c r="BP97" s="73"/>
      <c r="BQ97" s="89">
        <f>ROUND(SUM(BQ86:BQ96),5)</f>
        <v>156241</v>
      </c>
    </row>
    <row r="98" spans="1:69" ht="12" customHeight="1" x14ac:dyDescent="0.2">
      <c r="A98" s="73"/>
      <c r="B98" s="73"/>
      <c r="C98" s="73"/>
      <c r="D98" s="73"/>
      <c r="E98" s="73"/>
      <c r="F98" s="73"/>
      <c r="G98" s="73" t="s">
        <v>111</v>
      </c>
      <c r="H98" s="96">
        <v>11000</v>
      </c>
      <c r="I98" s="97">
        <v>1100</v>
      </c>
      <c r="J98" s="97">
        <v>1100</v>
      </c>
      <c r="K98" s="98">
        <f t="shared" si="52"/>
        <v>13200</v>
      </c>
      <c r="L98" s="125">
        <v>14000</v>
      </c>
      <c r="M98" s="100">
        <v>13200</v>
      </c>
      <c r="N98" s="101">
        <f>13000-8000</f>
        <v>5000</v>
      </c>
      <c r="O98" s="102">
        <f t="shared" si="53"/>
        <v>-8200</v>
      </c>
      <c r="P98" s="103">
        <f t="shared" si="54"/>
        <v>-8200</v>
      </c>
      <c r="R98" s="153" t="s">
        <v>246</v>
      </c>
      <c r="S98" s="89"/>
      <c r="U98" s="73"/>
      <c r="V98" s="73"/>
      <c r="W98" s="73"/>
      <c r="X98" s="73"/>
      <c r="Y98" s="73"/>
      <c r="Z98" s="73"/>
      <c r="AA98" s="73"/>
      <c r="AB98" s="73" t="s">
        <v>65</v>
      </c>
      <c r="AC98" s="89">
        <v>12500</v>
      </c>
      <c r="AE98" s="73"/>
      <c r="AF98" s="73"/>
      <c r="AG98" s="73"/>
      <c r="AH98" s="73"/>
      <c r="AI98" s="73"/>
      <c r="AJ98" s="73"/>
      <c r="AK98" s="73" t="s">
        <v>67</v>
      </c>
      <c r="AL98" s="73"/>
      <c r="AM98" s="81"/>
      <c r="AP98" s="73"/>
      <c r="AQ98" s="73"/>
      <c r="AR98" s="73"/>
      <c r="AS98" s="73"/>
      <c r="AT98" s="73"/>
      <c r="AU98" s="73" t="s">
        <v>67</v>
      </c>
      <c r="AV98" s="73"/>
      <c r="AW98" s="81"/>
      <c r="AY98" s="73"/>
      <c r="AZ98" s="73"/>
      <c r="BA98" s="73"/>
      <c r="BB98" s="73"/>
      <c r="BC98" s="73"/>
      <c r="BD98" s="73"/>
      <c r="BE98" s="73"/>
      <c r="BF98" s="73" t="s">
        <v>65</v>
      </c>
      <c r="BG98" s="89">
        <v>15000</v>
      </c>
      <c r="BJ98" s="73"/>
      <c r="BK98" s="73"/>
      <c r="BL98" s="73"/>
      <c r="BM98" s="73"/>
      <c r="BN98" s="73"/>
      <c r="BO98" s="73" t="s">
        <v>67</v>
      </c>
      <c r="BP98" s="73"/>
      <c r="BQ98" s="89"/>
    </row>
    <row r="99" spans="1:69" ht="12" customHeight="1" x14ac:dyDescent="0.2">
      <c r="A99" s="73"/>
      <c r="B99" s="73"/>
      <c r="C99" s="73"/>
      <c r="D99" s="73"/>
      <c r="E99" s="73"/>
      <c r="F99" s="73"/>
      <c r="G99" s="73" t="s">
        <v>93</v>
      </c>
      <c r="H99" s="96">
        <v>9000</v>
      </c>
      <c r="I99" s="97">
        <v>0</v>
      </c>
      <c r="J99" s="97">
        <v>0</v>
      </c>
      <c r="K99" s="98">
        <f t="shared" si="52"/>
        <v>9000</v>
      </c>
      <c r="L99" s="125">
        <v>8000</v>
      </c>
      <c r="M99" s="100">
        <v>9000</v>
      </c>
      <c r="N99" s="101">
        <v>10000</v>
      </c>
      <c r="O99" s="102">
        <f t="shared" si="53"/>
        <v>1000</v>
      </c>
      <c r="P99" s="103">
        <f t="shared" si="54"/>
        <v>1000</v>
      </c>
      <c r="R99" s="73"/>
      <c r="S99" s="89"/>
      <c r="U99" s="73"/>
      <c r="V99" s="73"/>
      <c r="W99" s="73"/>
      <c r="X99" s="73"/>
      <c r="Y99" s="73"/>
      <c r="Z99" s="73"/>
      <c r="AA99" s="73"/>
      <c r="AB99" s="73" t="s">
        <v>120</v>
      </c>
      <c r="AC99" s="89">
        <v>11000</v>
      </c>
      <c r="AE99" s="73"/>
      <c r="AF99" s="73"/>
      <c r="AG99" s="73"/>
      <c r="AH99" s="73"/>
      <c r="AI99" s="73"/>
      <c r="AJ99" s="73"/>
      <c r="AK99" s="73"/>
      <c r="AL99" s="73" t="s">
        <v>89</v>
      </c>
      <c r="AM99" s="81">
        <v>100</v>
      </c>
      <c r="AP99" s="73"/>
      <c r="AQ99" s="73"/>
      <c r="AR99" s="73"/>
      <c r="AS99" s="73"/>
      <c r="AT99" s="73"/>
      <c r="AU99" s="73"/>
      <c r="AV99" s="73" t="s">
        <v>89</v>
      </c>
      <c r="AW99" s="81">
        <v>100</v>
      </c>
      <c r="AY99" s="73"/>
      <c r="AZ99" s="73"/>
      <c r="BA99" s="73"/>
      <c r="BB99" s="73"/>
      <c r="BC99" s="73"/>
      <c r="BD99" s="73"/>
      <c r="BE99" s="73"/>
      <c r="BF99" s="73" t="s">
        <v>120</v>
      </c>
      <c r="BG99" s="89">
        <v>13200</v>
      </c>
      <c r="BJ99" s="73"/>
      <c r="BK99" s="73"/>
      <c r="BL99" s="73"/>
      <c r="BM99" s="73"/>
      <c r="BN99" s="73"/>
      <c r="BO99" s="73"/>
      <c r="BP99" s="73" t="s">
        <v>89</v>
      </c>
      <c r="BQ99" s="89">
        <v>3000</v>
      </c>
    </row>
    <row r="100" spans="1:69" ht="12" customHeight="1" thickBot="1" x14ac:dyDescent="0.25">
      <c r="A100" s="73"/>
      <c r="B100" s="106"/>
      <c r="C100" s="106"/>
      <c r="D100" s="106"/>
      <c r="E100" s="106"/>
      <c r="F100" s="106"/>
      <c r="G100" s="107" t="s">
        <v>128</v>
      </c>
      <c r="H100" s="127">
        <v>1500</v>
      </c>
      <c r="I100" s="128">
        <v>0</v>
      </c>
      <c r="J100" s="128">
        <v>0</v>
      </c>
      <c r="K100" s="129">
        <f t="shared" si="52"/>
        <v>1500</v>
      </c>
      <c r="L100" s="130">
        <v>3000</v>
      </c>
      <c r="M100" s="131">
        <v>1500</v>
      </c>
      <c r="N100" s="132">
        <v>1500</v>
      </c>
      <c r="O100" s="133">
        <f t="shared" si="53"/>
        <v>0</v>
      </c>
      <c r="P100" s="134">
        <f t="shared" si="54"/>
        <v>0</v>
      </c>
      <c r="R100" s="73"/>
      <c r="S100" s="89"/>
      <c r="U100" s="73"/>
      <c r="V100" s="73"/>
      <c r="W100" s="73"/>
      <c r="X100" s="73"/>
      <c r="Y100" s="73"/>
      <c r="Z100" s="73"/>
      <c r="AA100" s="73"/>
      <c r="AB100" s="73" t="s">
        <v>93</v>
      </c>
      <c r="AC100" s="89">
        <v>9000</v>
      </c>
      <c r="AE100" s="73"/>
      <c r="AF100" s="73"/>
      <c r="AG100" s="73"/>
      <c r="AH100" s="73"/>
      <c r="AI100" s="73"/>
      <c r="AJ100" s="73"/>
      <c r="AK100" s="73"/>
      <c r="AL100" s="73" t="s">
        <v>90</v>
      </c>
      <c r="AM100" s="81">
        <v>10</v>
      </c>
      <c r="AP100" s="73"/>
      <c r="AQ100" s="73"/>
      <c r="AR100" s="73"/>
      <c r="AS100" s="73"/>
      <c r="AT100" s="73"/>
      <c r="AU100" s="73"/>
      <c r="AV100" s="73" t="s">
        <v>90</v>
      </c>
      <c r="AW100" s="81">
        <v>0</v>
      </c>
      <c r="AY100" s="73"/>
      <c r="AZ100" s="73"/>
      <c r="BA100" s="73"/>
      <c r="BB100" s="73"/>
      <c r="BC100" s="73"/>
      <c r="BD100" s="73"/>
      <c r="BE100" s="73"/>
      <c r="BF100" s="73" t="s">
        <v>93</v>
      </c>
      <c r="BG100" s="89">
        <v>9000</v>
      </c>
      <c r="BJ100" s="73"/>
      <c r="BK100" s="73"/>
      <c r="BL100" s="73"/>
      <c r="BM100" s="73"/>
      <c r="BN100" s="73"/>
      <c r="BO100" s="73"/>
      <c r="BP100" s="73" t="s">
        <v>90</v>
      </c>
      <c r="BQ100" s="89">
        <v>500</v>
      </c>
    </row>
    <row r="101" spans="1:69" ht="12" customHeight="1" thickBot="1" x14ac:dyDescent="0.25">
      <c r="A101" s="73"/>
      <c r="B101" s="137"/>
      <c r="C101" s="137"/>
      <c r="D101" s="137"/>
      <c r="E101" s="137"/>
      <c r="F101" s="137" t="s">
        <v>66</v>
      </c>
      <c r="G101" s="137"/>
      <c r="H101" s="138">
        <f>ROUND(SUM(H89:H100),5)</f>
        <v>114994.39</v>
      </c>
      <c r="I101" s="139">
        <f t="shared" ref="I101:P101" si="57">ROUND(SUM(I89:I100),5)</f>
        <v>15740.8</v>
      </c>
      <c r="J101" s="139">
        <f t="shared" si="57"/>
        <v>13813</v>
      </c>
      <c r="K101" s="139">
        <f t="shared" si="57"/>
        <v>144548.19</v>
      </c>
      <c r="L101" s="138">
        <f>ROUND(SUM(L89:L100),5)</f>
        <v>156241</v>
      </c>
      <c r="M101" s="139">
        <f t="shared" si="57"/>
        <v>146254</v>
      </c>
      <c r="N101" s="140">
        <f t="shared" si="57"/>
        <v>104748</v>
      </c>
      <c r="O101" s="139">
        <f t="shared" si="57"/>
        <v>-39800.19</v>
      </c>
      <c r="P101" s="140">
        <f t="shared" si="57"/>
        <v>-41506</v>
      </c>
      <c r="R101" s="73"/>
      <c r="S101" s="89"/>
      <c r="U101" s="73"/>
      <c r="V101" s="73"/>
      <c r="W101" s="73"/>
      <c r="X101" s="73"/>
      <c r="Y101" s="73"/>
      <c r="Z101" s="73"/>
      <c r="AA101" s="73"/>
      <c r="AB101" s="73" t="s">
        <v>127</v>
      </c>
      <c r="AC101" s="136">
        <v>1500</v>
      </c>
      <c r="AE101" s="73"/>
      <c r="AF101" s="73"/>
      <c r="AG101" s="73"/>
      <c r="AH101" s="73"/>
      <c r="AI101" s="73"/>
      <c r="AJ101" s="73"/>
      <c r="AK101" s="73"/>
      <c r="AL101" s="73" t="s">
        <v>68</v>
      </c>
      <c r="AM101" s="81">
        <v>888.61</v>
      </c>
      <c r="AP101" s="73"/>
      <c r="AQ101" s="73"/>
      <c r="AR101" s="73"/>
      <c r="AS101" s="73"/>
      <c r="AT101" s="73"/>
      <c r="AU101" s="73"/>
      <c r="AV101" s="73" t="s">
        <v>68</v>
      </c>
      <c r="AW101" s="81">
        <v>2610.67</v>
      </c>
      <c r="AY101" s="73"/>
      <c r="AZ101" s="73"/>
      <c r="BA101" s="73"/>
      <c r="BB101" s="73"/>
      <c r="BC101" s="73"/>
      <c r="BD101" s="73"/>
      <c r="BE101" s="73"/>
      <c r="BF101" s="73" t="s">
        <v>127</v>
      </c>
      <c r="BG101" s="136">
        <v>1500</v>
      </c>
      <c r="BJ101" s="73"/>
      <c r="BK101" s="73"/>
      <c r="BL101" s="73"/>
      <c r="BM101" s="73"/>
      <c r="BN101" s="73"/>
      <c r="BO101" s="73"/>
      <c r="BP101" s="73" t="s">
        <v>68</v>
      </c>
      <c r="BQ101" s="89">
        <v>3600</v>
      </c>
    </row>
    <row r="102" spans="1:69" ht="12" customHeight="1" x14ac:dyDescent="0.2">
      <c r="A102" s="73"/>
      <c r="B102" s="73"/>
      <c r="C102" s="73"/>
      <c r="D102" s="73"/>
      <c r="E102" s="73"/>
      <c r="F102" s="73" t="s">
        <v>67</v>
      </c>
      <c r="G102" s="73"/>
      <c r="H102" s="122"/>
      <c r="I102" s="123"/>
      <c r="J102" s="123"/>
      <c r="K102" s="123"/>
      <c r="L102" s="122"/>
      <c r="M102" s="123"/>
      <c r="N102" s="124"/>
      <c r="O102" s="123"/>
      <c r="P102" s="124"/>
      <c r="R102" s="73"/>
      <c r="S102" s="89"/>
      <c r="U102" s="73"/>
      <c r="V102" s="73"/>
      <c r="W102" s="73"/>
      <c r="X102" s="73"/>
      <c r="Y102" s="73"/>
      <c r="Z102" s="73"/>
      <c r="AA102" s="73" t="s">
        <v>66</v>
      </c>
      <c r="AB102" s="73"/>
      <c r="AC102" s="89">
        <f>ROUND(SUM(AC90:AC101),5)</f>
        <v>114994.39</v>
      </c>
      <c r="AE102" s="73"/>
      <c r="AF102" s="73"/>
      <c r="AG102" s="73"/>
      <c r="AH102" s="73"/>
      <c r="AI102" s="73"/>
      <c r="AJ102" s="73"/>
      <c r="AK102" s="73"/>
      <c r="AL102" s="73" t="s">
        <v>69</v>
      </c>
      <c r="AM102" s="81">
        <v>150</v>
      </c>
      <c r="AP102" s="73"/>
      <c r="AQ102" s="73"/>
      <c r="AR102" s="73"/>
      <c r="AS102" s="73"/>
      <c r="AT102" s="73"/>
      <c r="AU102" s="73"/>
      <c r="AV102" s="73" t="s">
        <v>69</v>
      </c>
      <c r="AW102" s="81">
        <v>150</v>
      </c>
      <c r="AY102" s="73"/>
      <c r="AZ102" s="73"/>
      <c r="BA102" s="73"/>
      <c r="BB102" s="73"/>
      <c r="BC102" s="73"/>
      <c r="BD102" s="73"/>
      <c r="BE102" s="73" t="s">
        <v>66</v>
      </c>
      <c r="BF102" s="73"/>
      <c r="BG102" s="89">
        <f>ROUND(SUM(BG90:BG101),5)</f>
        <v>146254</v>
      </c>
      <c r="BJ102" s="73"/>
      <c r="BK102" s="73"/>
      <c r="BL102" s="73"/>
      <c r="BM102" s="73"/>
      <c r="BN102" s="73"/>
      <c r="BO102" s="73"/>
      <c r="BP102" s="73" t="s">
        <v>69</v>
      </c>
      <c r="BQ102" s="89">
        <v>700</v>
      </c>
    </row>
    <row r="103" spans="1:69" ht="12" customHeight="1" x14ac:dyDescent="0.2">
      <c r="A103" s="73"/>
      <c r="B103" s="73"/>
      <c r="C103" s="73"/>
      <c r="D103" s="73"/>
      <c r="E103" s="73"/>
      <c r="F103" s="73"/>
      <c r="G103" s="73" t="s">
        <v>89</v>
      </c>
      <c r="H103" s="96">
        <v>1150</v>
      </c>
      <c r="I103" s="97">
        <v>100</v>
      </c>
      <c r="J103" s="97">
        <v>100</v>
      </c>
      <c r="K103" s="98">
        <f t="shared" ref="K103:K112" si="58">SUM(H103:J103)</f>
        <v>1350</v>
      </c>
      <c r="L103" s="125">
        <v>3000</v>
      </c>
      <c r="M103" s="100">
        <v>2850</v>
      </c>
      <c r="N103" s="101">
        <v>2400</v>
      </c>
      <c r="O103" s="102">
        <f t="shared" ref="O103:O112" si="59">N103-K103</f>
        <v>1050</v>
      </c>
      <c r="P103" s="103">
        <f t="shared" ref="P103:P112" si="60">N103-M103</f>
        <v>-450</v>
      </c>
      <c r="R103" s="73"/>
      <c r="S103" s="89"/>
      <c r="U103" s="73"/>
      <c r="V103" s="73"/>
      <c r="W103" s="73"/>
      <c r="X103" s="73"/>
      <c r="Y103" s="73"/>
      <c r="Z103" s="73"/>
      <c r="AA103" s="73" t="s">
        <v>67</v>
      </c>
      <c r="AB103" s="73"/>
      <c r="AC103" s="89"/>
      <c r="AE103" s="73"/>
      <c r="AF103" s="73"/>
      <c r="AG103" s="73"/>
      <c r="AH103" s="73"/>
      <c r="AI103" s="73"/>
      <c r="AJ103" s="73"/>
      <c r="AK103" s="73"/>
      <c r="AL103" s="73" t="s">
        <v>70</v>
      </c>
      <c r="AM103" s="81">
        <v>0</v>
      </c>
      <c r="AP103" s="73"/>
      <c r="AQ103" s="73"/>
      <c r="AR103" s="73"/>
      <c r="AS103" s="73"/>
      <c r="AT103" s="73"/>
      <c r="AU103" s="73"/>
      <c r="AV103" s="73" t="s">
        <v>70</v>
      </c>
      <c r="AW103" s="81">
        <v>0</v>
      </c>
      <c r="AY103" s="73"/>
      <c r="AZ103" s="73"/>
      <c r="BA103" s="73"/>
      <c r="BB103" s="73"/>
      <c r="BC103" s="73"/>
      <c r="BD103" s="73"/>
      <c r="BE103" s="73" t="s">
        <v>67</v>
      </c>
      <c r="BF103" s="73"/>
      <c r="BG103" s="89"/>
      <c r="BJ103" s="73"/>
      <c r="BK103" s="73"/>
      <c r="BL103" s="73"/>
      <c r="BM103" s="73"/>
      <c r="BN103" s="73"/>
      <c r="BO103" s="73"/>
      <c r="BP103" s="73" t="s">
        <v>70</v>
      </c>
      <c r="BQ103" s="89">
        <v>300</v>
      </c>
    </row>
    <row r="104" spans="1:69" ht="12" customHeight="1" x14ac:dyDescent="0.2">
      <c r="A104" s="73"/>
      <c r="B104" s="73"/>
      <c r="C104" s="73"/>
      <c r="D104" s="73"/>
      <c r="E104" s="73"/>
      <c r="F104" s="73"/>
      <c r="G104" s="73" t="s">
        <v>90</v>
      </c>
      <c r="H104" s="96">
        <v>200</v>
      </c>
      <c r="I104" s="97">
        <v>10</v>
      </c>
      <c r="J104" s="97">
        <v>0</v>
      </c>
      <c r="K104" s="98">
        <f t="shared" si="58"/>
        <v>210</v>
      </c>
      <c r="L104" s="125">
        <v>500</v>
      </c>
      <c r="M104" s="100">
        <v>475</v>
      </c>
      <c r="N104" s="101">
        <v>600</v>
      </c>
      <c r="O104" s="102">
        <f t="shared" si="59"/>
        <v>390</v>
      </c>
      <c r="P104" s="103">
        <f t="shared" si="60"/>
        <v>125</v>
      </c>
      <c r="R104" s="73"/>
      <c r="S104" s="89"/>
      <c r="U104" s="73"/>
      <c r="V104" s="73"/>
      <c r="W104" s="73"/>
      <c r="X104" s="73"/>
      <c r="Y104" s="73"/>
      <c r="Z104" s="73"/>
      <c r="AA104" s="73"/>
      <c r="AB104" s="73" t="s">
        <v>89</v>
      </c>
      <c r="AC104" s="89">
        <v>1150</v>
      </c>
      <c r="AE104" s="73"/>
      <c r="AF104" s="73"/>
      <c r="AG104" s="73"/>
      <c r="AH104" s="73"/>
      <c r="AI104" s="73"/>
      <c r="AJ104" s="73"/>
      <c r="AK104" s="73"/>
      <c r="AL104" s="73" t="s">
        <v>86</v>
      </c>
      <c r="AM104" s="81">
        <v>75</v>
      </c>
      <c r="AP104" s="73"/>
      <c r="AQ104" s="73"/>
      <c r="AR104" s="73"/>
      <c r="AS104" s="73"/>
      <c r="AT104" s="73"/>
      <c r="AU104" s="73"/>
      <c r="AV104" s="73" t="s">
        <v>86</v>
      </c>
      <c r="AW104" s="81">
        <v>133.57</v>
      </c>
      <c r="AY104" s="73"/>
      <c r="AZ104" s="73"/>
      <c r="BA104" s="73"/>
      <c r="BB104" s="73"/>
      <c r="BC104" s="73"/>
      <c r="BD104" s="73"/>
      <c r="BE104" s="73"/>
      <c r="BF104" s="73" t="s">
        <v>89</v>
      </c>
      <c r="BG104" s="89">
        <v>2850</v>
      </c>
      <c r="BJ104" s="73"/>
      <c r="BK104" s="73"/>
      <c r="BL104" s="73"/>
      <c r="BM104" s="73"/>
      <c r="BN104" s="73"/>
      <c r="BO104" s="73"/>
      <c r="BP104" s="73" t="s">
        <v>86</v>
      </c>
      <c r="BQ104" s="89">
        <v>4300</v>
      </c>
    </row>
    <row r="105" spans="1:69" ht="12" customHeight="1" x14ac:dyDescent="0.2">
      <c r="A105" s="73"/>
      <c r="B105" s="73"/>
      <c r="C105" s="73"/>
      <c r="D105" s="73"/>
      <c r="E105" s="73"/>
      <c r="F105" s="73"/>
      <c r="G105" s="73" t="s">
        <v>68</v>
      </c>
      <c r="H105" s="96">
        <v>-904.87</v>
      </c>
      <c r="I105" s="97">
        <v>888.61</v>
      </c>
      <c r="J105" s="97">
        <v>2610.67</v>
      </c>
      <c r="K105" s="98">
        <f t="shared" si="58"/>
        <v>2594.41</v>
      </c>
      <c r="L105" s="125">
        <v>3600</v>
      </c>
      <c r="M105" s="100">
        <v>3420</v>
      </c>
      <c r="N105" s="101">
        <v>1800</v>
      </c>
      <c r="O105" s="102">
        <f t="shared" si="59"/>
        <v>-794.40999999999985</v>
      </c>
      <c r="P105" s="103">
        <f t="shared" si="60"/>
        <v>-1620</v>
      </c>
      <c r="R105" s="149" t="s">
        <v>249</v>
      </c>
      <c r="S105" s="89"/>
      <c r="U105" s="73"/>
      <c r="V105" s="73"/>
      <c r="W105" s="73"/>
      <c r="X105" s="73"/>
      <c r="Y105" s="73"/>
      <c r="Z105" s="73"/>
      <c r="AA105" s="73"/>
      <c r="AB105" s="73" t="s">
        <v>90</v>
      </c>
      <c r="AC105" s="89">
        <v>200</v>
      </c>
      <c r="AE105" s="73"/>
      <c r="AF105" s="73"/>
      <c r="AG105" s="73"/>
      <c r="AH105" s="73"/>
      <c r="AI105" s="73"/>
      <c r="AJ105" s="73"/>
      <c r="AK105" s="73"/>
      <c r="AL105" s="73" t="s">
        <v>115</v>
      </c>
      <c r="AM105" s="81">
        <v>0</v>
      </c>
      <c r="AP105" s="73"/>
      <c r="AQ105" s="73"/>
      <c r="AR105" s="73"/>
      <c r="AS105" s="73"/>
      <c r="AT105" s="73"/>
      <c r="AU105" s="73"/>
      <c r="AV105" s="73" t="s">
        <v>115</v>
      </c>
      <c r="AW105" s="81">
        <v>149.63999999999999</v>
      </c>
      <c r="AY105" s="73"/>
      <c r="AZ105" s="73"/>
      <c r="BA105" s="73"/>
      <c r="BB105" s="73"/>
      <c r="BC105" s="73"/>
      <c r="BD105" s="73"/>
      <c r="BE105" s="73"/>
      <c r="BF105" s="73" t="s">
        <v>90</v>
      </c>
      <c r="BG105" s="89">
        <v>475</v>
      </c>
      <c r="BJ105" s="73"/>
      <c r="BK105" s="73"/>
      <c r="BL105" s="73"/>
      <c r="BM105" s="73"/>
      <c r="BN105" s="73"/>
      <c r="BO105" s="73"/>
      <c r="BP105" s="73" t="s">
        <v>115</v>
      </c>
      <c r="BQ105" s="89">
        <v>1500</v>
      </c>
    </row>
    <row r="106" spans="1:69" ht="12" customHeight="1" x14ac:dyDescent="0.2">
      <c r="A106" s="73"/>
      <c r="B106" s="73"/>
      <c r="C106" s="73"/>
      <c r="D106" s="73"/>
      <c r="E106" s="73"/>
      <c r="F106" s="73"/>
      <c r="G106" s="73" t="s">
        <v>69</v>
      </c>
      <c r="H106" s="96">
        <v>1400</v>
      </c>
      <c r="I106" s="97">
        <v>140</v>
      </c>
      <c r="J106" s="97">
        <v>140</v>
      </c>
      <c r="K106" s="98">
        <f t="shared" si="58"/>
        <v>1680</v>
      </c>
      <c r="L106" s="125">
        <v>700</v>
      </c>
      <c r="M106" s="100">
        <v>1680</v>
      </c>
      <c r="N106" s="101">
        <v>1800</v>
      </c>
      <c r="O106" s="102">
        <f t="shared" si="59"/>
        <v>120</v>
      </c>
      <c r="P106" s="103">
        <f t="shared" si="60"/>
        <v>120</v>
      </c>
      <c r="R106" s="73"/>
      <c r="S106" s="89"/>
      <c r="U106" s="73"/>
      <c r="V106" s="73"/>
      <c r="W106" s="73"/>
      <c r="X106" s="73"/>
      <c r="Y106" s="73"/>
      <c r="Z106" s="73"/>
      <c r="AA106" s="73"/>
      <c r="AB106" s="73" t="s">
        <v>68</v>
      </c>
      <c r="AC106" s="89">
        <v>-904.87</v>
      </c>
      <c r="AE106" s="73"/>
      <c r="AF106" s="73"/>
      <c r="AG106" s="73"/>
      <c r="AH106" s="73"/>
      <c r="AI106" s="73"/>
      <c r="AJ106" s="73"/>
      <c r="AK106" s="73"/>
      <c r="AL106" s="73" t="s">
        <v>85</v>
      </c>
      <c r="AM106" s="81">
        <v>48.15</v>
      </c>
      <c r="AP106" s="73"/>
      <c r="AQ106" s="73"/>
      <c r="AR106" s="73"/>
      <c r="AS106" s="73"/>
      <c r="AT106" s="73"/>
      <c r="AU106" s="73"/>
      <c r="AV106" s="73" t="s">
        <v>85</v>
      </c>
      <c r="AW106" s="81">
        <v>0</v>
      </c>
      <c r="AY106" s="73"/>
      <c r="AZ106" s="73"/>
      <c r="BA106" s="73"/>
      <c r="BB106" s="73"/>
      <c r="BC106" s="73"/>
      <c r="BD106" s="73"/>
      <c r="BE106" s="73"/>
      <c r="BF106" s="73" t="s">
        <v>68</v>
      </c>
      <c r="BG106" s="89">
        <v>3420</v>
      </c>
      <c r="BJ106" s="73"/>
      <c r="BK106" s="73"/>
      <c r="BL106" s="73"/>
      <c r="BM106" s="73"/>
      <c r="BN106" s="73"/>
      <c r="BO106" s="73"/>
      <c r="BP106" s="73" t="s">
        <v>85</v>
      </c>
      <c r="BQ106" s="89">
        <v>600</v>
      </c>
    </row>
    <row r="107" spans="1:69" ht="12" customHeight="1" thickBot="1" x14ac:dyDescent="0.25">
      <c r="A107" s="73"/>
      <c r="B107" s="73"/>
      <c r="C107" s="73"/>
      <c r="D107" s="73"/>
      <c r="E107" s="73"/>
      <c r="F107" s="73"/>
      <c r="G107" s="73" t="s">
        <v>70</v>
      </c>
      <c r="H107" s="96">
        <v>0</v>
      </c>
      <c r="I107" s="97">
        <v>0</v>
      </c>
      <c r="J107" s="97">
        <v>0</v>
      </c>
      <c r="K107" s="98">
        <f t="shared" si="58"/>
        <v>0</v>
      </c>
      <c r="L107" s="125">
        <v>300</v>
      </c>
      <c r="M107" s="100">
        <v>285</v>
      </c>
      <c r="N107" s="101">
        <v>250</v>
      </c>
      <c r="O107" s="102">
        <f t="shared" si="59"/>
        <v>250</v>
      </c>
      <c r="P107" s="103">
        <f t="shared" si="60"/>
        <v>-35</v>
      </c>
      <c r="R107" s="73"/>
      <c r="S107" s="89"/>
      <c r="U107" s="73"/>
      <c r="V107" s="73"/>
      <c r="W107" s="73"/>
      <c r="X107" s="73"/>
      <c r="Y107" s="73"/>
      <c r="Z107" s="73"/>
      <c r="AA107" s="73"/>
      <c r="AB107" s="73" t="s">
        <v>69</v>
      </c>
      <c r="AC107" s="89">
        <v>1400</v>
      </c>
      <c r="AE107" s="73"/>
      <c r="AF107" s="73"/>
      <c r="AG107" s="73"/>
      <c r="AH107" s="73"/>
      <c r="AI107" s="73"/>
      <c r="AJ107" s="73"/>
      <c r="AK107" s="73"/>
      <c r="AL107" s="73" t="s">
        <v>91</v>
      </c>
      <c r="AM107" s="135">
        <v>0</v>
      </c>
      <c r="AP107" s="73"/>
      <c r="AQ107" s="73"/>
      <c r="AR107" s="73"/>
      <c r="AS107" s="73"/>
      <c r="AT107" s="73"/>
      <c r="AU107" s="73"/>
      <c r="AV107" s="73" t="s">
        <v>91</v>
      </c>
      <c r="AW107" s="135">
        <v>0</v>
      </c>
      <c r="AY107" s="73"/>
      <c r="AZ107" s="73"/>
      <c r="BA107" s="73"/>
      <c r="BB107" s="73"/>
      <c r="BC107" s="73"/>
      <c r="BD107" s="73"/>
      <c r="BE107" s="73"/>
      <c r="BF107" s="73" t="s">
        <v>69</v>
      </c>
      <c r="BG107" s="89">
        <v>1680</v>
      </c>
      <c r="BJ107" s="73"/>
      <c r="BK107" s="73"/>
      <c r="BL107" s="73"/>
      <c r="BM107" s="73"/>
      <c r="BN107" s="73"/>
      <c r="BO107" s="73"/>
      <c r="BP107" s="73" t="s">
        <v>91</v>
      </c>
      <c r="BQ107" s="136">
        <v>100</v>
      </c>
    </row>
    <row r="108" spans="1:69" ht="12" customHeight="1" x14ac:dyDescent="0.2">
      <c r="A108" s="73"/>
      <c r="B108" s="73"/>
      <c r="C108" s="73"/>
      <c r="D108" s="73"/>
      <c r="E108" s="73"/>
      <c r="F108" s="73"/>
      <c r="G108" s="73" t="s">
        <v>86</v>
      </c>
      <c r="H108" s="96">
        <v>1291.93</v>
      </c>
      <c r="I108" s="97">
        <v>75</v>
      </c>
      <c r="J108" s="97">
        <v>133.57</v>
      </c>
      <c r="K108" s="98">
        <f t="shared" si="58"/>
        <v>1500.5</v>
      </c>
      <c r="L108" s="125">
        <v>4300</v>
      </c>
      <c r="M108" s="100">
        <v>3000</v>
      </c>
      <c r="N108" s="101">
        <v>2400</v>
      </c>
      <c r="O108" s="102">
        <f t="shared" si="59"/>
        <v>899.5</v>
      </c>
      <c r="P108" s="103">
        <f t="shared" si="60"/>
        <v>-600</v>
      </c>
      <c r="R108" s="73"/>
      <c r="S108" s="89"/>
      <c r="U108" s="73"/>
      <c r="V108" s="73"/>
      <c r="W108" s="73"/>
      <c r="X108" s="73"/>
      <c r="Y108" s="73"/>
      <c r="Z108" s="73"/>
      <c r="AA108" s="73"/>
      <c r="AB108" s="73" t="s">
        <v>70</v>
      </c>
      <c r="AC108" s="89">
        <v>0</v>
      </c>
      <c r="AE108" s="73"/>
      <c r="AF108" s="73"/>
      <c r="AG108" s="73"/>
      <c r="AH108" s="73"/>
      <c r="AI108" s="73"/>
      <c r="AJ108" s="73"/>
      <c r="AK108" s="73" t="s">
        <v>71</v>
      </c>
      <c r="AL108" s="73"/>
      <c r="AM108" s="81">
        <f>ROUND(SUM(AM98:AM107),5)</f>
        <v>1271.76</v>
      </c>
      <c r="AP108" s="73"/>
      <c r="AQ108" s="73"/>
      <c r="AR108" s="73"/>
      <c r="AS108" s="73"/>
      <c r="AT108" s="73"/>
      <c r="AU108" s="73" t="s">
        <v>71</v>
      </c>
      <c r="AV108" s="73"/>
      <c r="AW108" s="81">
        <f>ROUND(SUM(AW98:AW107),5)</f>
        <v>3143.88</v>
      </c>
      <c r="AY108" s="73"/>
      <c r="AZ108" s="73"/>
      <c r="BA108" s="73"/>
      <c r="BB108" s="73"/>
      <c r="BC108" s="73"/>
      <c r="BD108" s="73"/>
      <c r="BE108" s="73"/>
      <c r="BF108" s="73" t="s">
        <v>70</v>
      </c>
      <c r="BG108" s="89">
        <v>285</v>
      </c>
      <c r="BJ108" s="73"/>
      <c r="BK108" s="73"/>
      <c r="BL108" s="73"/>
      <c r="BM108" s="73"/>
      <c r="BN108" s="73"/>
      <c r="BO108" s="73" t="s">
        <v>71</v>
      </c>
      <c r="BP108" s="73"/>
      <c r="BQ108" s="89">
        <f>ROUND(SUM(BQ98:BQ107),5)</f>
        <v>14600</v>
      </c>
    </row>
    <row r="109" spans="1:69" ht="12" customHeight="1" x14ac:dyDescent="0.2">
      <c r="A109" s="73"/>
      <c r="B109" s="73"/>
      <c r="C109" s="73"/>
      <c r="D109" s="73"/>
      <c r="E109" s="73"/>
      <c r="F109" s="73"/>
      <c r="G109" s="154" t="s">
        <v>114</v>
      </c>
      <c r="H109" s="96">
        <v>276.39999999999998</v>
      </c>
      <c r="I109" s="97"/>
      <c r="J109" s="97"/>
      <c r="K109" s="98">
        <f t="shared" si="58"/>
        <v>276.39999999999998</v>
      </c>
      <c r="L109" s="125"/>
      <c r="M109" s="100">
        <v>1200</v>
      </c>
      <c r="N109" s="101">
        <v>0</v>
      </c>
      <c r="O109" s="102">
        <f t="shared" si="59"/>
        <v>-276.39999999999998</v>
      </c>
      <c r="P109" s="103">
        <f t="shared" si="60"/>
        <v>-1200</v>
      </c>
      <c r="R109" s="73"/>
      <c r="S109" s="89"/>
      <c r="U109" s="73"/>
      <c r="V109" s="73"/>
      <c r="W109" s="73"/>
      <c r="X109" s="73"/>
      <c r="Y109" s="73"/>
      <c r="Z109" s="73"/>
      <c r="AA109" s="73"/>
      <c r="AB109" s="73" t="s">
        <v>86</v>
      </c>
      <c r="AC109" s="89">
        <v>1291.93</v>
      </c>
      <c r="AE109" s="73"/>
      <c r="AF109" s="73"/>
      <c r="AG109" s="73"/>
      <c r="AH109" s="73"/>
      <c r="AI109" s="73"/>
      <c r="AJ109" s="73"/>
      <c r="AK109" s="73" t="s">
        <v>72</v>
      </c>
      <c r="AL109" s="73"/>
      <c r="AM109" s="81"/>
      <c r="AP109" s="73"/>
      <c r="AQ109" s="73"/>
      <c r="AR109" s="73"/>
      <c r="AS109" s="73"/>
      <c r="AT109" s="73"/>
      <c r="AU109" s="73" t="s">
        <v>72</v>
      </c>
      <c r="AV109" s="73"/>
      <c r="AW109" s="81"/>
      <c r="AY109" s="73"/>
      <c r="AZ109" s="73"/>
      <c r="BA109" s="73"/>
      <c r="BB109" s="73"/>
      <c r="BC109" s="73"/>
      <c r="BD109" s="73"/>
      <c r="BE109" s="73"/>
      <c r="BF109" s="73" t="s">
        <v>86</v>
      </c>
      <c r="BG109" s="89">
        <v>3000</v>
      </c>
      <c r="BJ109" s="73"/>
      <c r="BK109" s="73"/>
      <c r="BL109" s="73"/>
      <c r="BM109" s="73"/>
      <c r="BN109" s="73"/>
      <c r="BO109" s="73" t="s">
        <v>72</v>
      </c>
      <c r="BP109" s="73"/>
      <c r="BQ109" s="89"/>
    </row>
    <row r="110" spans="1:69" ht="12" customHeight="1" x14ac:dyDescent="0.2">
      <c r="A110" s="73"/>
      <c r="B110" s="73"/>
      <c r="C110" s="73"/>
      <c r="D110" s="73"/>
      <c r="E110" s="73"/>
      <c r="F110" s="73"/>
      <c r="G110" s="73" t="s">
        <v>115</v>
      </c>
      <c r="H110" s="96">
        <v>635.27</v>
      </c>
      <c r="I110" s="97">
        <v>0</v>
      </c>
      <c r="J110" s="97">
        <v>149.63999999999999</v>
      </c>
      <c r="K110" s="98">
        <f t="shared" si="58"/>
        <v>784.91</v>
      </c>
      <c r="L110" s="125">
        <v>1500</v>
      </c>
      <c r="M110" s="100">
        <v>1200</v>
      </c>
      <c r="N110" s="101">
        <v>1200</v>
      </c>
      <c r="O110" s="102">
        <f t="shared" si="59"/>
        <v>415.09000000000003</v>
      </c>
      <c r="P110" s="103">
        <f t="shared" si="60"/>
        <v>0</v>
      </c>
      <c r="R110" s="73"/>
      <c r="S110" s="89"/>
      <c r="U110" s="73"/>
      <c r="V110" s="73"/>
      <c r="W110" s="73"/>
      <c r="X110" s="73"/>
      <c r="Y110" s="73"/>
      <c r="Z110" s="73"/>
      <c r="AA110" s="73"/>
      <c r="AB110" s="73" t="s">
        <v>123</v>
      </c>
      <c r="AC110" s="89">
        <v>276.39999999999998</v>
      </c>
      <c r="AE110" s="73"/>
      <c r="AF110" s="73"/>
      <c r="AG110" s="73"/>
      <c r="AH110" s="73"/>
      <c r="AI110" s="73"/>
      <c r="AJ110" s="73"/>
      <c r="AK110" s="73"/>
      <c r="AL110" s="73" t="s">
        <v>73</v>
      </c>
      <c r="AM110" s="81">
        <v>34.08</v>
      </c>
      <c r="AP110" s="73"/>
      <c r="AQ110" s="73"/>
      <c r="AR110" s="73"/>
      <c r="AS110" s="73"/>
      <c r="AT110" s="73"/>
      <c r="AU110" s="73"/>
      <c r="AV110" s="73" t="s">
        <v>73</v>
      </c>
      <c r="AW110" s="81">
        <v>471.36</v>
      </c>
      <c r="AY110" s="73"/>
      <c r="AZ110" s="73"/>
      <c r="BA110" s="73"/>
      <c r="BB110" s="73"/>
      <c r="BC110" s="73"/>
      <c r="BD110" s="73"/>
      <c r="BE110" s="73"/>
      <c r="BF110" s="73" t="s">
        <v>123</v>
      </c>
      <c r="BG110" s="89">
        <v>1200</v>
      </c>
      <c r="BJ110" s="73"/>
      <c r="BK110" s="73"/>
      <c r="BL110" s="73"/>
      <c r="BM110" s="73"/>
      <c r="BN110" s="73"/>
      <c r="BO110" s="73"/>
      <c r="BP110" s="73" t="s">
        <v>73</v>
      </c>
      <c r="BQ110" s="89">
        <v>2000</v>
      </c>
    </row>
    <row r="111" spans="1:69" ht="12" customHeight="1" x14ac:dyDescent="0.2">
      <c r="A111" s="73"/>
      <c r="B111" s="73"/>
      <c r="C111" s="73"/>
      <c r="D111" s="73"/>
      <c r="E111" s="73"/>
      <c r="F111" s="73"/>
      <c r="G111" s="73" t="s">
        <v>85</v>
      </c>
      <c r="H111" s="96">
        <v>0</v>
      </c>
      <c r="I111" s="97">
        <v>48.15</v>
      </c>
      <c r="J111" s="97">
        <v>0</v>
      </c>
      <c r="K111" s="98">
        <f t="shared" si="58"/>
        <v>48.15</v>
      </c>
      <c r="L111" s="125">
        <v>600</v>
      </c>
      <c r="M111" s="100">
        <v>500</v>
      </c>
      <c r="N111" s="101">
        <v>250</v>
      </c>
      <c r="O111" s="102">
        <f t="shared" si="59"/>
        <v>201.85</v>
      </c>
      <c r="P111" s="103">
        <f t="shared" si="60"/>
        <v>-250</v>
      </c>
      <c r="R111" s="73"/>
      <c r="S111" s="89"/>
      <c r="U111" s="73"/>
      <c r="V111" s="73"/>
      <c r="W111" s="73"/>
      <c r="X111" s="73"/>
      <c r="Y111" s="73"/>
      <c r="Z111" s="73"/>
      <c r="AA111" s="73"/>
      <c r="AB111" s="73" t="s">
        <v>115</v>
      </c>
      <c r="AC111" s="89">
        <v>635.27</v>
      </c>
      <c r="AE111" s="73"/>
      <c r="AF111" s="73"/>
      <c r="AG111" s="73"/>
      <c r="AH111" s="73"/>
      <c r="AI111" s="73"/>
      <c r="AJ111" s="73"/>
      <c r="AK111" s="73"/>
      <c r="AL111" s="73" t="s">
        <v>88</v>
      </c>
      <c r="AM111" s="81">
        <v>0</v>
      </c>
      <c r="AP111" s="73"/>
      <c r="AQ111" s="73"/>
      <c r="AR111" s="73"/>
      <c r="AS111" s="73"/>
      <c r="AT111" s="73"/>
      <c r="AU111" s="73"/>
      <c r="AV111" s="73" t="s">
        <v>88</v>
      </c>
      <c r="AW111" s="81">
        <v>446.37</v>
      </c>
      <c r="AY111" s="73"/>
      <c r="AZ111" s="73"/>
      <c r="BA111" s="73"/>
      <c r="BB111" s="73"/>
      <c r="BC111" s="73"/>
      <c r="BD111" s="73"/>
      <c r="BE111" s="73"/>
      <c r="BF111" s="73" t="s">
        <v>115</v>
      </c>
      <c r="BG111" s="89">
        <v>1200</v>
      </c>
      <c r="BJ111" s="73"/>
      <c r="BK111" s="73"/>
      <c r="BL111" s="73"/>
      <c r="BM111" s="73"/>
      <c r="BN111" s="73"/>
      <c r="BO111" s="73"/>
      <c r="BP111" s="73" t="s">
        <v>88</v>
      </c>
      <c r="BQ111" s="89">
        <v>500</v>
      </c>
    </row>
    <row r="112" spans="1:69" ht="12" customHeight="1" thickBot="1" x14ac:dyDescent="0.25">
      <c r="A112" s="73"/>
      <c r="B112" s="106"/>
      <c r="C112" s="106"/>
      <c r="D112" s="106"/>
      <c r="E112" s="106"/>
      <c r="F112" s="106"/>
      <c r="G112" s="107" t="s">
        <v>91</v>
      </c>
      <c r="H112" s="127">
        <v>0</v>
      </c>
      <c r="I112" s="128">
        <v>0</v>
      </c>
      <c r="J112" s="128">
        <v>0</v>
      </c>
      <c r="K112" s="129">
        <f t="shared" si="58"/>
        <v>0</v>
      </c>
      <c r="L112" s="130">
        <v>100</v>
      </c>
      <c r="M112" s="131">
        <v>50</v>
      </c>
      <c r="N112" s="132">
        <v>100</v>
      </c>
      <c r="O112" s="133">
        <f t="shared" si="59"/>
        <v>100</v>
      </c>
      <c r="P112" s="134">
        <f t="shared" si="60"/>
        <v>50</v>
      </c>
      <c r="R112" s="73"/>
      <c r="S112" s="89"/>
      <c r="U112" s="73"/>
      <c r="V112" s="73"/>
      <c r="W112" s="73"/>
      <c r="X112" s="73"/>
      <c r="Y112" s="73"/>
      <c r="Z112" s="73"/>
      <c r="AA112" s="73"/>
      <c r="AB112" s="73" t="s">
        <v>85</v>
      </c>
      <c r="AC112" s="89">
        <v>0</v>
      </c>
      <c r="AE112" s="73"/>
      <c r="AF112" s="73"/>
      <c r="AG112" s="73"/>
      <c r="AH112" s="73"/>
      <c r="AI112" s="73"/>
      <c r="AJ112" s="73"/>
      <c r="AK112" s="73"/>
      <c r="AL112" s="73" t="s">
        <v>94</v>
      </c>
      <c r="AM112" s="81">
        <v>0</v>
      </c>
      <c r="AP112" s="73"/>
      <c r="AQ112" s="73"/>
      <c r="AR112" s="73"/>
      <c r="AS112" s="73"/>
      <c r="AT112" s="73"/>
      <c r="AU112" s="73"/>
      <c r="AV112" s="73" t="s">
        <v>94</v>
      </c>
      <c r="AW112" s="81">
        <v>0</v>
      </c>
      <c r="AY112" s="73"/>
      <c r="AZ112" s="73"/>
      <c r="BA112" s="73"/>
      <c r="BB112" s="73"/>
      <c r="BC112" s="73"/>
      <c r="BD112" s="73"/>
      <c r="BE112" s="73"/>
      <c r="BF112" s="73" t="s">
        <v>85</v>
      </c>
      <c r="BG112" s="89">
        <v>500</v>
      </c>
      <c r="BJ112" s="73"/>
      <c r="BK112" s="73"/>
      <c r="BL112" s="73"/>
      <c r="BM112" s="73"/>
      <c r="BN112" s="73"/>
      <c r="BO112" s="73"/>
      <c r="BP112" s="73" t="s">
        <v>94</v>
      </c>
      <c r="BQ112" s="89">
        <v>500</v>
      </c>
    </row>
    <row r="113" spans="1:69" ht="12" customHeight="1" thickBot="1" x14ac:dyDescent="0.25">
      <c r="A113" s="73"/>
      <c r="B113" s="137"/>
      <c r="C113" s="137"/>
      <c r="D113" s="137"/>
      <c r="E113" s="137"/>
      <c r="F113" s="137" t="s">
        <v>71</v>
      </c>
      <c r="G113" s="137"/>
      <c r="H113" s="138">
        <f>ROUND(SUM(H102:H112),5)</f>
        <v>4048.73</v>
      </c>
      <c r="I113" s="139">
        <f t="shared" ref="I113:P113" si="61">ROUND(SUM(I102:I112),5)</f>
        <v>1261.76</v>
      </c>
      <c r="J113" s="139">
        <f t="shared" si="61"/>
        <v>3133.88</v>
      </c>
      <c r="K113" s="139">
        <f t="shared" si="61"/>
        <v>8444.3700000000008</v>
      </c>
      <c r="L113" s="138">
        <f t="shared" si="61"/>
        <v>14600</v>
      </c>
      <c r="M113" s="139">
        <f t="shared" si="61"/>
        <v>14660</v>
      </c>
      <c r="N113" s="140">
        <f t="shared" si="61"/>
        <v>10800</v>
      </c>
      <c r="O113" s="139">
        <f t="shared" si="61"/>
        <v>2355.63</v>
      </c>
      <c r="P113" s="140">
        <f t="shared" si="61"/>
        <v>-3860</v>
      </c>
      <c r="R113" s="73"/>
      <c r="S113" s="89"/>
      <c r="U113" s="73"/>
      <c r="V113" s="73"/>
      <c r="W113" s="73"/>
      <c r="X113" s="73"/>
      <c r="Y113" s="73"/>
      <c r="Z113" s="73"/>
      <c r="AA113" s="73"/>
      <c r="AB113" s="73" t="s">
        <v>91</v>
      </c>
      <c r="AC113" s="136">
        <v>0</v>
      </c>
      <c r="AE113" s="73"/>
      <c r="AF113" s="73"/>
      <c r="AG113" s="73"/>
      <c r="AH113" s="73"/>
      <c r="AI113" s="73"/>
      <c r="AJ113" s="73"/>
      <c r="AK113" s="73"/>
      <c r="AL113" s="73" t="s">
        <v>74</v>
      </c>
      <c r="AM113" s="81">
        <v>0</v>
      </c>
      <c r="AP113" s="73"/>
      <c r="AQ113" s="73"/>
      <c r="AR113" s="73"/>
      <c r="AS113" s="73"/>
      <c r="AT113" s="73"/>
      <c r="AU113" s="73"/>
      <c r="AV113" s="73" t="s">
        <v>74</v>
      </c>
      <c r="AW113" s="81">
        <v>40.98</v>
      </c>
      <c r="AY113" s="73"/>
      <c r="AZ113" s="73"/>
      <c r="BA113" s="73"/>
      <c r="BB113" s="73"/>
      <c r="BC113" s="73"/>
      <c r="BD113" s="73"/>
      <c r="BE113" s="73"/>
      <c r="BF113" s="73" t="s">
        <v>91</v>
      </c>
      <c r="BG113" s="136">
        <v>50</v>
      </c>
      <c r="BJ113" s="73"/>
      <c r="BK113" s="73"/>
      <c r="BL113" s="73"/>
      <c r="BM113" s="73"/>
      <c r="BN113" s="73"/>
      <c r="BO113" s="73"/>
      <c r="BP113" s="73" t="s">
        <v>74</v>
      </c>
      <c r="BQ113" s="89">
        <v>150</v>
      </c>
    </row>
    <row r="114" spans="1:69" ht="12" customHeight="1" x14ac:dyDescent="0.2">
      <c r="A114" s="73"/>
      <c r="B114" s="73"/>
      <c r="C114" s="73"/>
      <c r="D114" s="73"/>
      <c r="E114" s="73"/>
      <c r="F114" s="73" t="s">
        <v>72</v>
      </c>
      <c r="G114" s="73"/>
      <c r="H114" s="122"/>
      <c r="I114" s="123"/>
      <c r="J114" s="123"/>
      <c r="K114" s="123"/>
      <c r="L114" s="122"/>
      <c r="M114" s="123"/>
      <c r="N114" s="124"/>
      <c r="O114" s="123"/>
      <c r="P114" s="124"/>
      <c r="R114" s="73"/>
      <c r="S114" s="89"/>
      <c r="U114" s="73"/>
      <c r="V114" s="73"/>
      <c r="W114" s="73"/>
      <c r="X114" s="73"/>
      <c r="Y114" s="73"/>
      <c r="Z114" s="73"/>
      <c r="AA114" s="73" t="s">
        <v>71</v>
      </c>
      <c r="AB114" s="73"/>
      <c r="AC114" s="89">
        <f>ROUND(SUM(AC103:AC113),5)</f>
        <v>4048.73</v>
      </c>
      <c r="AE114" s="73"/>
      <c r="AF114" s="73"/>
      <c r="AG114" s="73"/>
      <c r="AH114" s="73"/>
      <c r="AI114" s="73"/>
      <c r="AJ114" s="73"/>
      <c r="AK114" s="73"/>
      <c r="AL114" s="73" t="s">
        <v>75</v>
      </c>
      <c r="AM114" s="81">
        <v>750.29</v>
      </c>
      <c r="AP114" s="73"/>
      <c r="AQ114" s="73"/>
      <c r="AR114" s="73"/>
      <c r="AS114" s="73"/>
      <c r="AT114" s="73"/>
      <c r="AU114" s="73"/>
      <c r="AV114" s="73" t="s">
        <v>75</v>
      </c>
      <c r="AW114" s="81">
        <v>505.43</v>
      </c>
      <c r="AY114" s="73"/>
      <c r="AZ114" s="73"/>
      <c r="BA114" s="73"/>
      <c r="BB114" s="73"/>
      <c r="BC114" s="73"/>
      <c r="BD114" s="73"/>
      <c r="BE114" s="73" t="s">
        <v>71</v>
      </c>
      <c r="BF114" s="73"/>
      <c r="BG114" s="89">
        <f>ROUND(SUM(BG103:BG113),5)</f>
        <v>14660</v>
      </c>
      <c r="BJ114" s="73"/>
      <c r="BK114" s="73"/>
      <c r="BL114" s="73"/>
      <c r="BM114" s="73"/>
      <c r="BN114" s="73"/>
      <c r="BO114" s="73"/>
      <c r="BP114" s="73" t="s">
        <v>75</v>
      </c>
      <c r="BQ114" s="89">
        <v>1675</v>
      </c>
    </row>
    <row r="115" spans="1:69" ht="12" customHeight="1" x14ac:dyDescent="0.2">
      <c r="A115" s="73"/>
      <c r="B115" s="73"/>
      <c r="C115" s="73"/>
      <c r="D115" s="73"/>
      <c r="E115" s="73"/>
      <c r="F115" s="73"/>
      <c r="G115" s="73" t="s">
        <v>73</v>
      </c>
      <c r="H115" s="96">
        <v>2596.25</v>
      </c>
      <c r="I115" s="97">
        <v>34.08</v>
      </c>
      <c r="J115" s="97">
        <v>471.36</v>
      </c>
      <c r="K115" s="98">
        <f t="shared" ref="K115:K121" si="62">SUM(H115:J115)</f>
        <v>3101.69</v>
      </c>
      <c r="L115" s="125">
        <v>2000</v>
      </c>
      <c r="M115" s="100">
        <v>2800</v>
      </c>
      <c r="N115" s="101">
        <v>3000</v>
      </c>
      <c r="O115" s="102">
        <f t="shared" ref="O115:O121" si="63">N115-K115</f>
        <v>-101.69000000000005</v>
      </c>
      <c r="P115" s="103">
        <f t="shared" ref="P115:P121" si="64">N115-M115</f>
        <v>200</v>
      </c>
      <c r="R115" s="73"/>
      <c r="S115" s="89"/>
      <c r="U115" s="73"/>
      <c r="V115" s="73"/>
      <c r="W115" s="73"/>
      <c r="X115" s="73"/>
      <c r="Y115" s="73"/>
      <c r="Z115" s="73"/>
      <c r="AA115" s="73" t="s">
        <v>72</v>
      </c>
      <c r="AB115" s="73"/>
      <c r="AC115" s="89"/>
      <c r="AE115" s="73"/>
      <c r="AF115" s="73"/>
      <c r="AG115" s="73"/>
      <c r="AH115" s="73"/>
      <c r="AI115" s="73"/>
      <c r="AJ115" s="73"/>
      <c r="AK115" s="73"/>
      <c r="AL115" s="73" t="s">
        <v>76</v>
      </c>
      <c r="AM115" s="81">
        <v>0</v>
      </c>
      <c r="AP115" s="73"/>
      <c r="AQ115" s="73"/>
      <c r="AR115" s="73"/>
      <c r="AS115" s="73"/>
      <c r="AT115" s="73"/>
      <c r="AU115" s="73"/>
      <c r="AV115" s="73" t="s">
        <v>76</v>
      </c>
      <c r="AW115" s="81">
        <v>0</v>
      </c>
      <c r="AY115" s="73"/>
      <c r="AZ115" s="73"/>
      <c r="BA115" s="73"/>
      <c r="BB115" s="73"/>
      <c r="BC115" s="73"/>
      <c r="BD115" s="73"/>
      <c r="BE115" s="73" t="s">
        <v>72</v>
      </c>
      <c r="BF115" s="73"/>
      <c r="BG115" s="89"/>
      <c r="BJ115" s="73"/>
      <c r="BK115" s="73"/>
      <c r="BL115" s="73"/>
      <c r="BM115" s="73"/>
      <c r="BN115" s="73"/>
      <c r="BO115" s="73"/>
      <c r="BP115" s="73" t="s">
        <v>76</v>
      </c>
      <c r="BQ115" s="89">
        <v>500</v>
      </c>
    </row>
    <row r="116" spans="1:69" ht="12" customHeight="1" thickBot="1" x14ac:dyDescent="0.25">
      <c r="A116" s="73"/>
      <c r="B116" s="73"/>
      <c r="C116" s="73"/>
      <c r="D116" s="73"/>
      <c r="E116" s="73"/>
      <c r="F116" s="73"/>
      <c r="G116" s="73" t="s">
        <v>88</v>
      </c>
      <c r="H116" s="96">
        <v>0</v>
      </c>
      <c r="I116" s="97">
        <v>0</v>
      </c>
      <c r="J116" s="97">
        <v>446.37</v>
      </c>
      <c r="K116" s="98">
        <f t="shared" si="62"/>
        <v>446.37</v>
      </c>
      <c r="L116" s="125">
        <v>500</v>
      </c>
      <c r="M116" s="100">
        <v>475</v>
      </c>
      <c r="N116" s="101">
        <v>500</v>
      </c>
      <c r="O116" s="102">
        <f t="shared" si="63"/>
        <v>53.629999999999995</v>
      </c>
      <c r="P116" s="103">
        <f t="shared" si="64"/>
        <v>25</v>
      </c>
      <c r="R116" s="73"/>
      <c r="S116" s="89"/>
      <c r="U116" s="73"/>
      <c r="V116" s="73"/>
      <c r="W116" s="73"/>
      <c r="X116" s="73"/>
      <c r="Y116" s="73"/>
      <c r="Z116" s="73"/>
      <c r="AA116" s="73"/>
      <c r="AB116" s="73" t="s">
        <v>73</v>
      </c>
      <c r="AC116" s="89">
        <v>2596.25</v>
      </c>
      <c r="AE116" s="73"/>
      <c r="AF116" s="73"/>
      <c r="AG116" s="73"/>
      <c r="AH116" s="73"/>
      <c r="AI116" s="73"/>
      <c r="AJ116" s="73"/>
      <c r="AK116" s="73"/>
      <c r="AL116" s="73" t="s">
        <v>77</v>
      </c>
      <c r="AM116" s="135">
        <v>0</v>
      </c>
      <c r="AP116" s="73"/>
      <c r="AQ116" s="73"/>
      <c r="AR116" s="73"/>
      <c r="AS116" s="73"/>
      <c r="AT116" s="73"/>
      <c r="AU116" s="73"/>
      <c r="AV116" s="73" t="s">
        <v>77</v>
      </c>
      <c r="AW116" s="135">
        <v>0</v>
      </c>
      <c r="AY116" s="73"/>
      <c r="AZ116" s="73"/>
      <c r="BA116" s="73"/>
      <c r="BB116" s="73"/>
      <c r="BC116" s="73"/>
      <c r="BD116" s="73"/>
      <c r="BE116" s="73"/>
      <c r="BF116" s="73" t="s">
        <v>73</v>
      </c>
      <c r="BG116" s="89">
        <v>2800</v>
      </c>
      <c r="BJ116" s="73"/>
      <c r="BK116" s="73"/>
      <c r="BL116" s="73"/>
      <c r="BM116" s="73"/>
      <c r="BN116" s="73"/>
      <c r="BO116" s="73"/>
      <c r="BP116" s="73" t="s">
        <v>77</v>
      </c>
      <c r="BQ116" s="136">
        <v>500</v>
      </c>
    </row>
    <row r="117" spans="1:69" ht="12" customHeight="1" x14ac:dyDescent="0.2">
      <c r="A117" s="73"/>
      <c r="B117" s="73"/>
      <c r="C117" s="73"/>
      <c r="D117" s="73"/>
      <c r="E117" s="73"/>
      <c r="F117" s="73"/>
      <c r="G117" s="73" t="s">
        <v>94</v>
      </c>
      <c r="H117" s="96">
        <v>0</v>
      </c>
      <c r="I117" s="97">
        <v>0</v>
      </c>
      <c r="J117" s="97">
        <v>0</v>
      </c>
      <c r="K117" s="98">
        <f t="shared" si="62"/>
        <v>0</v>
      </c>
      <c r="L117" s="125">
        <v>500</v>
      </c>
      <c r="M117" s="100">
        <v>475</v>
      </c>
      <c r="N117" s="101">
        <v>100</v>
      </c>
      <c r="O117" s="102">
        <f t="shared" si="63"/>
        <v>100</v>
      </c>
      <c r="P117" s="103">
        <f t="shared" si="64"/>
        <v>-375</v>
      </c>
      <c r="R117" s="73"/>
      <c r="S117" s="89"/>
      <c r="U117" s="73"/>
      <c r="V117" s="73"/>
      <c r="W117" s="73"/>
      <c r="X117" s="73"/>
      <c r="Y117" s="73"/>
      <c r="Z117" s="73"/>
      <c r="AA117" s="73"/>
      <c r="AB117" s="73" t="s">
        <v>88</v>
      </c>
      <c r="AC117" s="89">
        <v>0</v>
      </c>
      <c r="AE117" s="73"/>
      <c r="AF117" s="73"/>
      <c r="AG117" s="73"/>
      <c r="AH117" s="73"/>
      <c r="AI117" s="73"/>
      <c r="AJ117" s="73"/>
      <c r="AK117" s="73" t="s">
        <v>78</v>
      </c>
      <c r="AL117" s="73"/>
      <c r="AM117" s="81">
        <f>ROUND(SUM(AM109:AM116),5)</f>
        <v>784.37</v>
      </c>
      <c r="AP117" s="73"/>
      <c r="AQ117" s="73"/>
      <c r="AR117" s="73"/>
      <c r="AS117" s="73"/>
      <c r="AT117" s="73"/>
      <c r="AU117" s="73" t="s">
        <v>78</v>
      </c>
      <c r="AV117" s="73"/>
      <c r="AW117" s="81">
        <f>ROUND(SUM(AW109:AW116),5)</f>
        <v>1464.14</v>
      </c>
      <c r="AY117" s="73"/>
      <c r="AZ117" s="73"/>
      <c r="BA117" s="73"/>
      <c r="BB117" s="73"/>
      <c r="BC117" s="73"/>
      <c r="BD117" s="73"/>
      <c r="BE117" s="73"/>
      <c r="BF117" s="73" t="s">
        <v>88</v>
      </c>
      <c r="BG117" s="89">
        <v>475</v>
      </c>
      <c r="BJ117" s="73"/>
      <c r="BK117" s="73"/>
      <c r="BL117" s="73"/>
      <c r="BM117" s="73"/>
      <c r="BN117" s="73"/>
      <c r="BO117" s="73" t="s">
        <v>78</v>
      </c>
      <c r="BP117" s="73"/>
      <c r="BQ117" s="89">
        <f>ROUND(SUM(BQ109:BQ116),5)</f>
        <v>5825</v>
      </c>
    </row>
    <row r="118" spans="1:69" ht="12" customHeight="1" x14ac:dyDescent="0.2">
      <c r="A118" s="73"/>
      <c r="B118" s="73"/>
      <c r="C118" s="73"/>
      <c r="D118" s="73"/>
      <c r="E118" s="73"/>
      <c r="F118" s="73"/>
      <c r="G118" s="73" t="s">
        <v>74</v>
      </c>
      <c r="H118" s="96">
        <v>10.18</v>
      </c>
      <c r="I118" s="97">
        <v>0</v>
      </c>
      <c r="J118" s="97">
        <v>40.98</v>
      </c>
      <c r="K118" s="98">
        <f t="shared" si="62"/>
        <v>51.16</v>
      </c>
      <c r="L118" s="125">
        <v>150</v>
      </c>
      <c r="M118" s="100">
        <v>143</v>
      </c>
      <c r="N118" s="101">
        <v>100</v>
      </c>
      <c r="O118" s="102">
        <f t="shared" si="63"/>
        <v>48.84</v>
      </c>
      <c r="P118" s="103">
        <f t="shared" si="64"/>
        <v>-43</v>
      </c>
      <c r="R118" s="73"/>
      <c r="S118" s="89"/>
      <c r="U118" s="73"/>
      <c r="V118" s="73"/>
      <c r="W118" s="73"/>
      <c r="X118" s="73"/>
      <c r="Y118" s="73"/>
      <c r="Z118" s="73"/>
      <c r="AA118" s="73"/>
      <c r="AB118" s="73" t="s">
        <v>94</v>
      </c>
      <c r="AC118" s="89">
        <v>0</v>
      </c>
      <c r="AE118" s="73"/>
      <c r="AF118" s="73"/>
      <c r="AG118" s="73"/>
      <c r="AH118" s="73"/>
      <c r="AI118" s="73"/>
      <c r="AJ118" s="73"/>
      <c r="AK118" s="73" t="s">
        <v>79</v>
      </c>
      <c r="AL118" s="73"/>
      <c r="AM118" s="81"/>
      <c r="AP118" s="73"/>
      <c r="AQ118" s="73"/>
      <c r="AR118" s="73"/>
      <c r="AS118" s="73"/>
      <c r="AT118" s="73"/>
      <c r="AU118" s="73" t="s">
        <v>79</v>
      </c>
      <c r="AV118" s="73"/>
      <c r="AW118" s="81"/>
      <c r="AY118" s="73"/>
      <c r="AZ118" s="73"/>
      <c r="BA118" s="73"/>
      <c r="BB118" s="73"/>
      <c r="BC118" s="73"/>
      <c r="BD118" s="73"/>
      <c r="BE118" s="73"/>
      <c r="BF118" s="73" t="s">
        <v>94</v>
      </c>
      <c r="BG118" s="89">
        <v>475</v>
      </c>
      <c r="BJ118" s="73"/>
      <c r="BK118" s="73"/>
      <c r="BL118" s="73"/>
      <c r="BM118" s="73"/>
      <c r="BN118" s="73"/>
      <c r="BO118" s="73" t="s">
        <v>79</v>
      </c>
      <c r="BP118" s="73"/>
      <c r="BQ118" s="89"/>
    </row>
    <row r="119" spans="1:69" ht="12" customHeight="1" x14ac:dyDescent="0.2">
      <c r="A119" s="73"/>
      <c r="B119" s="73"/>
      <c r="C119" s="73"/>
      <c r="D119" s="73"/>
      <c r="E119" s="73"/>
      <c r="F119" s="73"/>
      <c r="G119" s="73" t="s">
        <v>75</v>
      </c>
      <c r="H119" s="96">
        <v>1607.85</v>
      </c>
      <c r="I119" s="97">
        <v>750.29</v>
      </c>
      <c r="J119" s="97">
        <v>505.43</v>
      </c>
      <c r="K119" s="98">
        <f t="shared" si="62"/>
        <v>2863.5699999999997</v>
      </c>
      <c r="L119" s="125">
        <v>1675</v>
      </c>
      <c r="M119" s="100">
        <v>1591</v>
      </c>
      <c r="N119" s="101">
        <v>3000</v>
      </c>
      <c r="O119" s="102">
        <f t="shared" si="63"/>
        <v>136.43000000000029</v>
      </c>
      <c r="P119" s="103">
        <f t="shared" si="64"/>
        <v>1409</v>
      </c>
      <c r="R119" s="73"/>
      <c r="S119" s="89"/>
      <c r="U119" s="73"/>
      <c r="V119" s="73"/>
      <c r="W119" s="73"/>
      <c r="X119" s="73"/>
      <c r="Y119" s="73"/>
      <c r="Z119" s="73"/>
      <c r="AA119" s="73"/>
      <c r="AB119" s="73" t="s">
        <v>74</v>
      </c>
      <c r="AC119" s="89">
        <v>10.18</v>
      </c>
      <c r="AE119" s="73"/>
      <c r="AF119" s="73"/>
      <c r="AG119" s="73"/>
      <c r="AH119" s="73"/>
      <c r="AI119" s="73"/>
      <c r="AJ119" s="73"/>
      <c r="AK119" s="73"/>
      <c r="AL119" s="73" t="s">
        <v>129</v>
      </c>
      <c r="AM119" s="81">
        <v>73</v>
      </c>
      <c r="AP119" s="73"/>
      <c r="AQ119" s="73"/>
      <c r="AR119" s="73"/>
      <c r="AS119" s="73"/>
      <c r="AT119" s="73"/>
      <c r="AU119" s="73"/>
      <c r="AV119" s="73" t="s">
        <v>129</v>
      </c>
      <c r="AW119" s="81">
        <v>322.45999999999998</v>
      </c>
      <c r="AY119" s="73"/>
      <c r="AZ119" s="73"/>
      <c r="BA119" s="73"/>
      <c r="BB119" s="73"/>
      <c r="BC119" s="73"/>
      <c r="BD119" s="73"/>
      <c r="BE119" s="73"/>
      <c r="BF119" s="73" t="s">
        <v>74</v>
      </c>
      <c r="BG119" s="89">
        <v>143</v>
      </c>
      <c r="BJ119" s="73"/>
      <c r="BK119" s="73"/>
      <c r="BL119" s="73"/>
      <c r="BM119" s="73"/>
      <c r="BN119" s="73"/>
      <c r="BO119" s="73"/>
      <c r="BP119" s="73" t="s">
        <v>129</v>
      </c>
      <c r="BQ119" s="89">
        <v>4350</v>
      </c>
    </row>
    <row r="120" spans="1:69" ht="12" customHeight="1" x14ac:dyDescent="0.2">
      <c r="A120" s="73"/>
      <c r="B120" s="73"/>
      <c r="C120" s="73"/>
      <c r="D120" s="73"/>
      <c r="E120" s="73"/>
      <c r="F120" s="73"/>
      <c r="G120" s="73" t="s">
        <v>76</v>
      </c>
      <c r="H120" s="96">
        <v>115</v>
      </c>
      <c r="I120" s="97">
        <v>0</v>
      </c>
      <c r="J120" s="97">
        <v>0</v>
      </c>
      <c r="K120" s="98">
        <f t="shared" si="62"/>
        <v>115</v>
      </c>
      <c r="L120" s="125">
        <v>500</v>
      </c>
      <c r="M120" s="100">
        <v>475</v>
      </c>
      <c r="N120" s="101">
        <v>200</v>
      </c>
      <c r="O120" s="102">
        <f t="shared" si="63"/>
        <v>85</v>
      </c>
      <c r="P120" s="103">
        <f t="shared" si="64"/>
        <v>-275</v>
      </c>
      <c r="R120" s="73"/>
      <c r="S120" s="89"/>
      <c r="U120" s="73"/>
      <c r="V120" s="73"/>
      <c r="W120" s="73"/>
      <c r="X120" s="73"/>
      <c r="Y120" s="73"/>
      <c r="Z120" s="73"/>
      <c r="AA120" s="73"/>
      <c r="AB120" s="73" t="s">
        <v>75</v>
      </c>
      <c r="AC120" s="89">
        <v>1607.85</v>
      </c>
      <c r="AE120" s="73"/>
      <c r="AF120" s="73"/>
      <c r="AG120" s="73"/>
      <c r="AH120" s="73"/>
      <c r="AI120" s="73"/>
      <c r="AJ120" s="73"/>
      <c r="AK120" s="73"/>
      <c r="AL120" s="73" t="s">
        <v>80</v>
      </c>
      <c r="AM120" s="81">
        <v>0</v>
      </c>
      <c r="AP120" s="73"/>
      <c r="AQ120" s="73"/>
      <c r="AR120" s="73"/>
      <c r="AS120" s="73"/>
      <c r="AT120" s="73"/>
      <c r="AU120" s="73"/>
      <c r="AV120" s="73" t="s">
        <v>80</v>
      </c>
      <c r="AW120" s="81">
        <v>0</v>
      </c>
      <c r="AY120" s="73"/>
      <c r="AZ120" s="73"/>
      <c r="BA120" s="73"/>
      <c r="BB120" s="73"/>
      <c r="BC120" s="73"/>
      <c r="BD120" s="73"/>
      <c r="BE120" s="73"/>
      <c r="BF120" s="73" t="s">
        <v>75</v>
      </c>
      <c r="BG120" s="89">
        <v>1591</v>
      </c>
      <c r="BJ120" s="73"/>
      <c r="BK120" s="73"/>
      <c r="BL120" s="73"/>
      <c r="BM120" s="73"/>
      <c r="BN120" s="73"/>
      <c r="BO120" s="73"/>
      <c r="BP120" s="73" t="s">
        <v>80</v>
      </c>
      <c r="BQ120" s="89">
        <v>11200</v>
      </c>
    </row>
    <row r="121" spans="1:69" ht="12" customHeight="1" thickBot="1" x14ac:dyDescent="0.25">
      <c r="A121" s="73"/>
      <c r="B121" s="106"/>
      <c r="C121" s="106"/>
      <c r="D121" s="106"/>
      <c r="E121" s="106"/>
      <c r="F121" s="106"/>
      <c r="G121" s="107" t="s">
        <v>77</v>
      </c>
      <c r="H121" s="127">
        <v>0</v>
      </c>
      <c r="I121" s="128">
        <v>0</v>
      </c>
      <c r="J121" s="128">
        <v>0</v>
      </c>
      <c r="K121" s="129">
        <f t="shared" si="62"/>
        <v>0</v>
      </c>
      <c r="L121" s="130">
        <v>500</v>
      </c>
      <c r="M121" s="131">
        <v>100</v>
      </c>
      <c r="N121" s="132">
        <v>100</v>
      </c>
      <c r="O121" s="133">
        <f t="shared" si="63"/>
        <v>100</v>
      </c>
      <c r="P121" s="134">
        <f t="shared" si="64"/>
        <v>0</v>
      </c>
      <c r="R121" s="73"/>
      <c r="S121" s="89"/>
      <c r="U121" s="73"/>
      <c r="V121" s="73"/>
      <c r="W121" s="73"/>
      <c r="X121" s="73"/>
      <c r="Y121" s="73"/>
      <c r="Z121" s="73"/>
      <c r="AA121" s="73"/>
      <c r="AB121" s="73" t="s">
        <v>76</v>
      </c>
      <c r="AC121" s="89">
        <v>115</v>
      </c>
      <c r="AE121" s="73"/>
      <c r="AF121" s="73"/>
      <c r="AG121" s="73"/>
      <c r="AH121" s="73"/>
      <c r="AI121" s="73"/>
      <c r="AJ121" s="73"/>
      <c r="AK121" s="73"/>
      <c r="AL121" s="73" t="s">
        <v>95</v>
      </c>
      <c r="AM121" s="81">
        <v>138.99</v>
      </c>
      <c r="AP121" s="73"/>
      <c r="AQ121" s="73"/>
      <c r="AR121" s="73"/>
      <c r="AS121" s="73"/>
      <c r="AT121" s="73"/>
      <c r="AU121" s="73"/>
      <c r="AV121" s="73" t="s">
        <v>95</v>
      </c>
      <c r="AW121" s="81">
        <v>0</v>
      </c>
      <c r="AY121" s="73"/>
      <c r="AZ121" s="73"/>
      <c r="BA121" s="73"/>
      <c r="BB121" s="73"/>
      <c r="BC121" s="73"/>
      <c r="BD121" s="73"/>
      <c r="BE121" s="73"/>
      <c r="BF121" s="73" t="s">
        <v>76</v>
      </c>
      <c r="BG121" s="89">
        <v>475</v>
      </c>
      <c r="BJ121" s="73"/>
      <c r="BK121" s="73"/>
      <c r="BL121" s="73"/>
      <c r="BM121" s="73"/>
      <c r="BN121" s="73"/>
      <c r="BO121" s="73"/>
      <c r="BP121" s="73" t="s">
        <v>95</v>
      </c>
      <c r="BQ121" s="89">
        <v>1400</v>
      </c>
    </row>
    <row r="122" spans="1:69" ht="12" customHeight="1" thickBot="1" x14ac:dyDescent="0.25">
      <c r="A122" s="73"/>
      <c r="B122" s="137"/>
      <c r="C122" s="137"/>
      <c r="D122" s="137"/>
      <c r="E122" s="137"/>
      <c r="F122" s="137" t="s">
        <v>78</v>
      </c>
      <c r="G122" s="137"/>
      <c r="H122" s="138">
        <f>ROUND(SUM(H114:H121),5)</f>
        <v>4329.28</v>
      </c>
      <c r="I122" s="139">
        <f t="shared" ref="I122:P122" si="65">ROUND(SUM(I114:I121),5)</f>
        <v>784.37</v>
      </c>
      <c r="J122" s="139">
        <f t="shared" si="65"/>
        <v>1464.14</v>
      </c>
      <c r="K122" s="139">
        <f t="shared" si="65"/>
        <v>6577.79</v>
      </c>
      <c r="L122" s="138">
        <f t="shared" si="65"/>
        <v>5825</v>
      </c>
      <c r="M122" s="139">
        <f t="shared" si="65"/>
        <v>6059</v>
      </c>
      <c r="N122" s="140">
        <f t="shared" si="65"/>
        <v>7000</v>
      </c>
      <c r="O122" s="139">
        <f t="shared" si="65"/>
        <v>422.21</v>
      </c>
      <c r="P122" s="140">
        <f t="shared" si="65"/>
        <v>941</v>
      </c>
      <c r="R122" s="73"/>
      <c r="S122" s="89"/>
      <c r="U122" s="73"/>
      <c r="V122" s="73"/>
      <c r="W122" s="73"/>
      <c r="X122" s="73"/>
      <c r="Y122" s="73"/>
      <c r="Z122" s="73"/>
      <c r="AA122" s="73"/>
      <c r="AB122" s="73" t="s">
        <v>77</v>
      </c>
      <c r="AC122" s="136">
        <v>0</v>
      </c>
      <c r="AE122" s="73"/>
      <c r="AF122" s="73"/>
      <c r="AG122" s="73"/>
      <c r="AH122" s="73"/>
      <c r="AI122" s="73"/>
      <c r="AJ122" s="73"/>
      <c r="AK122" s="73" t="s">
        <v>81</v>
      </c>
      <c r="AL122" s="73"/>
      <c r="AM122" s="108">
        <f>ROUND(SUM(AM118:AM121),5)</f>
        <v>211.99</v>
      </c>
      <c r="AP122" s="73"/>
      <c r="AQ122" s="73"/>
      <c r="AR122" s="73"/>
      <c r="AS122" s="73"/>
      <c r="AT122" s="73"/>
      <c r="AU122" s="73" t="s">
        <v>81</v>
      </c>
      <c r="AV122" s="73"/>
      <c r="AW122" s="108">
        <f>ROUND(SUM(AW118:AW121),5)</f>
        <v>322.45999999999998</v>
      </c>
      <c r="AY122" s="73"/>
      <c r="AZ122" s="73"/>
      <c r="BA122" s="73"/>
      <c r="BB122" s="73"/>
      <c r="BC122" s="73"/>
      <c r="BD122" s="73"/>
      <c r="BE122" s="73"/>
      <c r="BF122" s="73" t="s">
        <v>77</v>
      </c>
      <c r="BG122" s="136">
        <v>100</v>
      </c>
      <c r="BJ122" s="73"/>
      <c r="BK122" s="73"/>
      <c r="BL122" s="73"/>
      <c r="BM122" s="73"/>
      <c r="BN122" s="73"/>
      <c r="BO122" s="73" t="s">
        <v>81</v>
      </c>
      <c r="BP122" s="73"/>
      <c r="BQ122" s="109">
        <f>ROUND(SUM(BQ118:BQ121),5)</f>
        <v>16950</v>
      </c>
    </row>
    <row r="123" spans="1:69" ht="12" customHeight="1" thickBot="1" x14ac:dyDescent="0.25">
      <c r="A123" s="73"/>
      <c r="B123" s="73"/>
      <c r="C123" s="73"/>
      <c r="D123" s="73"/>
      <c r="E123" s="73"/>
      <c r="F123" s="73" t="s">
        <v>79</v>
      </c>
      <c r="G123" s="73"/>
      <c r="H123" s="122"/>
      <c r="I123" s="123"/>
      <c r="J123" s="123"/>
      <c r="K123" s="123"/>
      <c r="L123" s="122"/>
      <c r="M123" s="123"/>
      <c r="N123" s="124"/>
      <c r="O123" s="123"/>
      <c r="P123" s="124"/>
      <c r="R123" s="73"/>
      <c r="S123" s="89"/>
      <c r="U123" s="73"/>
      <c r="V123" s="73"/>
      <c r="W123" s="73"/>
      <c r="X123" s="73"/>
      <c r="Y123" s="73"/>
      <c r="Z123" s="73"/>
      <c r="AA123" s="73" t="s">
        <v>78</v>
      </c>
      <c r="AB123" s="73"/>
      <c r="AC123" s="89">
        <f>ROUND(SUM(AC115:AC122),5)</f>
        <v>4329.28</v>
      </c>
      <c r="AE123" s="73"/>
      <c r="AF123" s="73"/>
      <c r="AG123" s="73"/>
      <c r="AH123" s="73"/>
      <c r="AI123" s="73"/>
      <c r="AJ123" s="73" t="s">
        <v>82</v>
      </c>
      <c r="AK123" s="73"/>
      <c r="AL123" s="73"/>
      <c r="AM123" s="108">
        <f>ROUND(AM66+AM69+AM72+AM77+AM85+AM97+AM108+AM117+AM122,5)</f>
        <v>21406.95</v>
      </c>
      <c r="AP123" s="73"/>
      <c r="AQ123" s="73"/>
      <c r="AR123" s="73"/>
      <c r="AS123" s="73"/>
      <c r="AT123" s="73" t="s">
        <v>82</v>
      </c>
      <c r="AU123" s="73"/>
      <c r="AV123" s="73"/>
      <c r="AW123" s="108">
        <f>ROUND(AW66+AW69+AW72+AW77+AW85+AW97+AW108+AW117+AW122,5)</f>
        <v>20387.45</v>
      </c>
      <c r="AY123" s="73"/>
      <c r="AZ123" s="73"/>
      <c r="BA123" s="73"/>
      <c r="BB123" s="73"/>
      <c r="BC123" s="73"/>
      <c r="BD123" s="73"/>
      <c r="BE123" s="73" t="s">
        <v>78</v>
      </c>
      <c r="BF123" s="73"/>
      <c r="BG123" s="89">
        <f>ROUND(SUM(BG115:BG122),5)</f>
        <v>6059</v>
      </c>
      <c r="BJ123" s="73"/>
      <c r="BK123" s="73"/>
      <c r="BL123" s="73"/>
      <c r="BM123" s="73"/>
      <c r="BN123" s="73" t="s">
        <v>82</v>
      </c>
      <c r="BO123" s="73"/>
      <c r="BP123" s="73"/>
      <c r="BQ123" s="109">
        <f>ROUND(BQ66+BQ69+BQ72+BQ77+BQ85+BQ97+BQ108+BQ117+BQ122,5)</f>
        <v>222666</v>
      </c>
    </row>
    <row r="124" spans="1:69" ht="12" customHeight="1" thickBot="1" x14ac:dyDescent="0.25">
      <c r="A124" s="73"/>
      <c r="B124" s="73"/>
      <c r="C124" s="73"/>
      <c r="D124" s="73"/>
      <c r="E124" s="73"/>
      <c r="F124" s="73"/>
      <c r="G124" s="73" t="s">
        <v>124</v>
      </c>
      <c r="H124" s="96">
        <v>2498.96</v>
      </c>
      <c r="I124" s="97">
        <v>73</v>
      </c>
      <c r="J124" s="97">
        <v>322.45999999999998</v>
      </c>
      <c r="K124" s="98">
        <f t="shared" ref="K124:K126" si="66">SUM(H124:J124)</f>
        <v>2894.42</v>
      </c>
      <c r="L124" s="125">
        <v>4350</v>
      </c>
      <c r="M124" s="100">
        <v>4133</v>
      </c>
      <c r="N124" s="101">
        <v>3000</v>
      </c>
      <c r="O124" s="102">
        <f t="shared" ref="O124:O126" si="67">N124-K124</f>
        <v>105.57999999999993</v>
      </c>
      <c r="P124" s="103">
        <f t="shared" ref="P124:P126" si="68">N124-M124</f>
        <v>-1133</v>
      </c>
      <c r="R124" s="73"/>
      <c r="S124" s="89"/>
      <c r="U124" s="73"/>
      <c r="V124" s="73"/>
      <c r="W124" s="73"/>
      <c r="X124" s="73"/>
      <c r="Y124" s="73"/>
      <c r="Z124" s="73"/>
      <c r="AA124" s="73" t="s">
        <v>79</v>
      </c>
      <c r="AB124" s="73"/>
      <c r="AC124" s="89"/>
      <c r="AE124" s="73"/>
      <c r="AF124" s="73"/>
      <c r="AG124" s="73"/>
      <c r="AH124" s="73"/>
      <c r="AI124" s="73" t="s">
        <v>83</v>
      </c>
      <c r="AJ124" s="73"/>
      <c r="AK124" s="73"/>
      <c r="AL124" s="73"/>
      <c r="AM124" s="108">
        <f>ROUND(AM17+AM65+AM123,5)</f>
        <v>78849.75</v>
      </c>
      <c r="AP124" s="73"/>
      <c r="AQ124" s="73"/>
      <c r="AR124" s="73"/>
      <c r="AS124" s="73" t="s">
        <v>83</v>
      </c>
      <c r="AT124" s="73"/>
      <c r="AU124" s="73"/>
      <c r="AV124" s="73"/>
      <c r="AW124" s="108">
        <f>ROUND(AW17+AW65+AW123,5)</f>
        <v>64857.15</v>
      </c>
      <c r="AY124" s="73"/>
      <c r="AZ124" s="73"/>
      <c r="BA124" s="73"/>
      <c r="BB124" s="73"/>
      <c r="BC124" s="73"/>
      <c r="BD124" s="73"/>
      <c r="BE124" s="73" t="s">
        <v>79</v>
      </c>
      <c r="BF124" s="73"/>
      <c r="BG124" s="89"/>
      <c r="BJ124" s="73"/>
      <c r="BK124" s="73"/>
      <c r="BL124" s="73"/>
      <c r="BM124" s="73" t="s">
        <v>83</v>
      </c>
      <c r="BN124" s="73"/>
      <c r="BO124" s="73"/>
      <c r="BP124" s="73"/>
      <c r="BQ124" s="109">
        <f>ROUND(BQ17+BQ65+BQ123,5)</f>
        <v>891857</v>
      </c>
    </row>
    <row r="125" spans="1:69" ht="12" customHeight="1" thickBot="1" x14ac:dyDescent="0.25">
      <c r="A125" s="73"/>
      <c r="B125" s="73"/>
      <c r="C125" s="73"/>
      <c r="D125" s="73"/>
      <c r="E125" s="73"/>
      <c r="F125" s="73"/>
      <c r="G125" s="73" t="s">
        <v>80</v>
      </c>
      <c r="H125" s="96">
        <v>784.87</v>
      </c>
      <c r="I125" s="97">
        <v>0</v>
      </c>
      <c r="J125" s="97">
        <v>0</v>
      </c>
      <c r="K125" s="98">
        <f t="shared" si="66"/>
        <v>784.87</v>
      </c>
      <c r="L125" s="125">
        <v>11200</v>
      </c>
      <c r="M125" s="100">
        <v>5000</v>
      </c>
      <c r="N125" s="101">
        <v>5000</v>
      </c>
      <c r="O125" s="102">
        <f t="shared" si="67"/>
        <v>4215.13</v>
      </c>
      <c r="P125" s="103">
        <f t="shared" si="68"/>
        <v>0</v>
      </c>
      <c r="R125" s="149" t="s">
        <v>247</v>
      </c>
      <c r="S125" s="89"/>
      <c r="U125" s="73"/>
      <c r="V125" s="73"/>
      <c r="W125" s="73"/>
      <c r="X125" s="73"/>
      <c r="Y125" s="73"/>
      <c r="Z125" s="73"/>
      <c r="AA125" s="73"/>
      <c r="AB125" s="73" t="s">
        <v>129</v>
      </c>
      <c r="AC125" s="89">
        <v>2498.96</v>
      </c>
      <c r="AE125" s="73"/>
      <c r="AF125" s="73"/>
      <c r="AG125" s="73" t="s">
        <v>84</v>
      </c>
      <c r="AH125" s="73"/>
      <c r="AI125" s="73"/>
      <c r="AJ125" s="73"/>
      <c r="AK125" s="73"/>
      <c r="AL125" s="73"/>
      <c r="AM125" s="108">
        <f>ROUND(AM7+AM16-AM124,5)</f>
        <v>82.23</v>
      </c>
      <c r="AP125" s="73"/>
      <c r="AQ125" s="73" t="s">
        <v>84</v>
      </c>
      <c r="AR125" s="73"/>
      <c r="AS125" s="73"/>
      <c r="AT125" s="73"/>
      <c r="AU125" s="73"/>
      <c r="AV125" s="73"/>
      <c r="AW125" s="108">
        <f>ROUND(AW7+AW16-AW124,5)</f>
        <v>37108.959999999999</v>
      </c>
      <c r="AY125" s="73"/>
      <c r="AZ125" s="73"/>
      <c r="BA125" s="73"/>
      <c r="BB125" s="73"/>
      <c r="BC125" s="73"/>
      <c r="BD125" s="73"/>
      <c r="BE125" s="73"/>
      <c r="BF125" s="73" t="s">
        <v>129</v>
      </c>
      <c r="BG125" s="89">
        <v>4133</v>
      </c>
      <c r="BJ125" s="73"/>
      <c r="BK125" s="73" t="s">
        <v>84</v>
      </c>
      <c r="BL125" s="73"/>
      <c r="BM125" s="73"/>
      <c r="BN125" s="73"/>
      <c r="BO125" s="73"/>
      <c r="BP125" s="73"/>
      <c r="BQ125" s="109">
        <f>ROUND(BQ7+BQ16-BQ124,5)</f>
        <v>-39057</v>
      </c>
    </row>
    <row r="126" spans="1:69" ht="12" customHeight="1" thickBot="1" x14ac:dyDescent="0.25">
      <c r="A126" s="73"/>
      <c r="B126" s="106"/>
      <c r="C126" s="106"/>
      <c r="D126" s="106"/>
      <c r="E126" s="106"/>
      <c r="F126" s="106"/>
      <c r="G126" s="107" t="s">
        <v>95</v>
      </c>
      <c r="H126" s="96">
        <v>0</v>
      </c>
      <c r="I126" s="97">
        <v>138.99</v>
      </c>
      <c r="J126" s="97">
        <v>0</v>
      </c>
      <c r="K126" s="98">
        <f t="shared" si="66"/>
        <v>138.99</v>
      </c>
      <c r="L126" s="125">
        <v>1400</v>
      </c>
      <c r="M126" s="100">
        <v>1330</v>
      </c>
      <c r="N126" s="101">
        <v>250</v>
      </c>
      <c r="O126" s="133">
        <f t="shared" si="67"/>
        <v>111.00999999999999</v>
      </c>
      <c r="P126" s="134">
        <f t="shared" si="68"/>
        <v>-1080</v>
      </c>
      <c r="R126" s="73"/>
      <c r="S126" s="89"/>
      <c r="U126" s="73"/>
      <c r="V126" s="73"/>
      <c r="W126" s="73"/>
      <c r="X126" s="73"/>
      <c r="Y126" s="73"/>
      <c r="Z126" s="73"/>
      <c r="AA126" s="73"/>
      <c r="AB126" s="73" t="s">
        <v>80</v>
      </c>
      <c r="AC126" s="89">
        <v>784.87</v>
      </c>
      <c r="AE126" s="73"/>
      <c r="AF126" s="73" t="s">
        <v>121</v>
      </c>
      <c r="AG126" s="73"/>
      <c r="AH126" s="73"/>
      <c r="AI126" s="73"/>
      <c r="AJ126" s="73"/>
      <c r="AK126" s="73"/>
      <c r="AL126" s="73"/>
      <c r="AM126" s="155">
        <f>AM125</f>
        <v>82.23</v>
      </c>
      <c r="AP126" s="73" t="s">
        <v>121</v>
      </c>
      <c r="AQ126" s="73"/>
      <c r="AR126" s="73"/>
      <c r="AS126" s="73"/>
      <c r="AT126" s="73"/>
      <c r="AU126" s="73"/>
      <c r="AV126" s="73"/>
      <c r="AW126" s="155">
        <f>AW125</f>
        <v>37108.959999999999</v>
      </c>
      <c r="AY126" s="73"/>
      <c r="AZ126" s="73"/>
      <c r="BA126" s="73"/>
      <c r="BB126" s="73"/>
      <c r="BC126" s="73"/>
      <c r="BD126" s="73"/>
      <c r="BE126" s="73"/>
      <c r="BF126" s="73" t="s">
        <v>80</v>
      </c>
      <c r="BG126" s="89">
        <v>5000</v>
      </c>
      <c r="BJ126" s="73" t="s">
        <v>121</v>
      </c>
      <c r="BK126" s="73"/>
      <c r="BL126" s="73"/>
      <c r="BM126" s="73"/>
      <c r="BN126" s="73"/>
      <c r="BO126" s="73"/>
      <c r="BP126" s="73"/>
      <c r="BQ126" s="156">
        <f>BQ125</f>
        <v>-39057</v>
      </c>
    </row>
    <row r="127" spans="1:69" ht="12" customHeight="1" thickBot="1" x14ac:dyDescent="0.25">
      <c r="A127" s="73"/>
      <c r="B127" s="110"/>
      <c r="C127" s="110"/>
      <c r="D127" s="110"/>
      <c r="E127" s="110"/>
      <c r="F127" s="110" t="s">
        <v>81</v>
      </c>
      <c r="G127" s="111"/>
      <c r="H127" s="141">
        <f>ROUND(SUM(H123:H126),5)</f>
        <v>3283.83</v>
      </c>
      <c r="I127" s="142">
        <f t="shared" ref="I127:P127" si="69">ROUND(SUM(I123:I126),5)</f>
        <v>211.99</v>
      </c>
      <c r="J127" s="142">
        <f t="shared" si="69"/>
        <v>322.45999999999998</v>
      </c>
      <c r="K127" s="142">
        <f t="shared" si="69"/>
        <v>3818.28</v>
      </c>
      <c r="L127" s="141">
        <f t="shared" si="69"/>
        <v>16950</v>
      </c>
      <c r="M127" s="142">
        <f t="shared" si="69"/>
        <v>10463</v>
      </c>
      <c r="N127" s="143">
        <f t="shared" si="69"/>
        <v>8250</v>
      </c>
      <c r="O127" s="142">
        <f t="shared" si="69"/>
        <v>4431.72</v>
      </c>
      <c r="P127" s="143">
        <f t="shared" si="69"/>
        <v>-2213</v>
      </c>
      <c r="R127" s="73"/>
      <c r="S127" s="89"/>
      <c r="U127" s="73"/>
      <c r="V127" s="73"/>
      <c r="W127" s="73"/>
      <c r="X127" s="73"/>
      <c r="Y127" s="73"/>
      <c r="Z127" s="73"/>
      <c r="AA127" s="73"/>
      <c r="AB127" s="73" t="s">
        <v>95</v>
      </c>
      <c r="AC127" s="89">
        <v>0</v>
      </c>
      <c r="AE127" s="73"/>
      <c r="AF127" s="73"/>
      <c r="AG127" s="73"/>
      <c r="AH127" s="73"/>
      <c r="AI127" s="73"/>
      <c r="AJ127" s="73"/>
      <c r="AK127" s="73"/>
      <c r="AL127" s="89"/>
      <c r="AM127" s="89"/>
      <c r="AY127" s="73"/>
      <c r="AZ127" s="73"/>
      <c r="BA127" s="73"/>
      <c r="BB127" s="73"/>
      <c r="BC127" s="73"/>
      <c r="BD127" s="73"/>
      <c r="BE127" s="73"/>
      <c r="BF127" s="73" t="s">
        <v>95</v>
      </c>
      <c r="BG127" s="89">
        <v>1330</v>
      </c>
    </row>
    <row r="128" spans="1:69" ht="12" customHeight="1" thickBot="1" x14ac:dyDescent="0.25">
      <c r="A128" s="73"/>
      <c r="B128" s="144"/>
      <c r="C128" s="144"/>
      <c r="D128" s="144"/>
      <c r="E128" s="144" t="s">
        <v>82</v>
      </c>
      <c r="F128" s="144"/>
      <c r="G128" s="145"/>
      <c r="H128" s="157">
        <f>ROUND(H68+H71+H74+H80+H88+H101+H113+H122+H127,5)</f>
        <v>144482.29999999999</v>
      </c>
      <c r="I128" s="158">
        <f t="shared" ref="I128:P128" si="70">ROUND(I68+I71+I74+I80+I88+I101+I113+I122+I127,5)</f>
        <v>21301.95</v>
      </c>
      <c r="J128" s="158">
        <f t="shared" si="70"/>
        <v>20277.45</v>
      </c>
      <c r="K128" s="158">
        <f t="shared" si="70"/>
        <v>186061.7</v>
      </c>
      <c r="L128" s="157">
        <f t="shared" si="70"/>
        <v>222666</v>
      </c>
      <c r="M128" s="158">
        <f t="shared" si="70"/>
        <v>201136</v>
      </c>
      <c r="N128" s="159">
        <f t="shared" si="70"/>
        <v>155298</v>
      </c>
      <c r="O128" s="147">
        <f t="shared" si="70"/>
        <v>-30763.7</v>
      </c>
      <c r="P128" s="148">
        <f t="shared" si="70"/>
        <v>-45838</v>
      </c>
      <c r="R128" s="73"/>
      <c r="S128" s="89"/>
      <c r="U128" s="73"/>
      <c r="V128" s="73"/>
      <c r="W128" s="73"/>
      <c r="X128" s="73"/>
      <c r="Y128" s="73"/>
      <c r="Z128" s="73"/>
      <c r="AA128" s="73" t="s">
        <v>81</v>
      </c>
      <c r="AB128" s="73"/>
      <c r="AC128" s="109">
        <f>ROUND(SUM(AC124:AC127),5)</f>
        <v>3283.83</v>
      </c>
      <c r="AE128" s="73"/>
      <c r="AF128" s="73"/>
      <c r="AG128" s="73"/>
      <c r="AH128" s="73"/>
      <c r="AI128" s="73"/>
      <c r="AJ128" s="73"/>
      <c r="AK128" s="73"/>
      <c r="AL128" s="89"/>
      <c r="AM128" s="89"/>
      <c r="AY128" s="73"/>
      <c r="AZ128" s="73"/>
      <c r="BA128" s="73"/>
      <c r="BB128" s="73"/>
      <c r="BC128" s="73"/>
      <c r="BD128" s="73"/>
      <c r="BE128" s="73" t="s">
        <v>81</v>
      </c>
      <c r="BF128" s="73"/>
      <c r="BG128" s="109">
        <f>ROUND(SUM(BG124:BG127),5)</f>
        <v>10463</v>
      </c>
    </row>
    <row r="129" spans="1:59" ht="12" customHeight="1" thickBot="1" x14ac:dyDescent="0.25">
      <c r="A129" s="73"/>
      <c r="B129" s="160"/>
      <c r="C129" s="160"/>
      <c r="D129" s="160"/>
      <c r="E129" s="160" t="s">
        <v>87</v>
      </c>
      <c r="F129" s="160"/>
      <c r="G129" s="161"/>
      <c r="H129" s="162">
        <v>0</v>
      </c>
      <c r="I129" s="163">
        <v>0</v>
      </c>
      <c r="J129" s="163">
        <v>0</v>
      </c>
      <c r="K129" s="163">
        <v>0</v>
      </c>
      <c r="L129" s="162">
        <v>0</v>
      </c>
      <c r="M129" s="163">
        <v>0</v>
      </c>
      <c r="N129" s="164">
        <v>0</v>
      </c>
      <c r="O129" s="165">
        <v>0</v>
      </c>
      <c r="P129" s="166">
        <v>0</v>
      </c>
      <c r="R129" s="152"/>
      <c r="S129" s="167"/>
      <c r="U129" s="73"/>
      <c r="V129" s="73"/>
      <c r="W129" s="73"/>
      <c r="X129" s="73"/>
      <c r="Y129" s="73"/>
      <c r="Z129" s="73" t="s">
        <v>82</v>
      </c>
      <c r="AA129" s="73"/>
      <c r="AB129" s="73"/>
      <c r="AC129" s="109">
        <f>ROUND(AC69+AC72+AC75+AC81+AC89+AC102+AC114+AC123+AC128,5)</f>
        <v>144482.29999999999</v>
      </c>
      <c r="AE129" s="73"/>
      <c r="AF129" s="73"/>
      <c r="AG129" s="73"/>
      <c r="AH129" s="73"/>
      <c r="AI129" s="73"/>
      <c r="AJ129" s="73"/>
      <c r="AK129" s="73"/>
      <c r="AL129" s="89"/>
      <c r="AM129" s="89"/>
      <c r="AY129" s="73"/>
      <c r="AZ129" s="73"/>
      <c r="BA129" s="73"/>
      <c r="BB129" s="73"/>
      <c r="BC129" s="73"/>
      <c r="BD129" s="73" t="s">
        <v>82</v>
      </c>
      <c r="BE129" s="73"/>
      <c r="BF129" s="73"/>
      <c r="BG129" s="109">
        <f>ROUND(BG69+BG72+BG75+BG81+BG89+BG102+BG114+BG123+BG128,5)</f>
        <v>201136</v>
      </c>
    </row>
    <row r="130" spans="1:59" ht="12" customHeight="1" thickBot="1" x14ac:dyDescent="0.25">
      <c r="A130" s="73"/>
      <c r="B130" s="168"/>
      <c r="C130" s="168"/>
      <c r="D130" s="168" t="s">
        <v>83</v>
      </c>
      <c r="E130" s="168"/>
      <c r="F130" s="168"/>
      <c r="G130" s="169"/>
      <c r="H130" s="170">
        <f>H67+H128+H129</f>
        <v>616971.27</v>
      </c>
      <c r="I130" s="171">
        <f t="shared" ref="I130:P130" si="71">I67+I128+I129</f>
        <v>74339.430000000008</v>
      </c>
      <c r="J130" s="171">
        <f t="shared" si="71"/>
        <v>62213.19</v>
      </c>
      <c r="K130" s="171">
        <f t="shared" si="71"/>
        <v>753523.8899999999</v>
      </c>
      <c r="L130" s="170">
        <f t="shared" si="71"/>
        <v>891857</v>
      </c>
      <c r="M130" s="171">
        <f t="shared" si="71"/>
        <v>827378</v>
      </c>
      <c r="N130" s="172">
        <f t="shared" si="71"/>
        <v>761400.34250000003</v>
      </c>
      <c r="O130" s="171">
        <f t="shared" si="71"/>
        <v>-13528.147499999999</v>
      </c>
      <c r="P130" s="172">
        <f t="shared" si="71"/>
        <v>-87382.257500000007</v>
      </c>
      <c r="R130" s="152"/>
      <c r="U130" s="73"/>
      <c r="V130" s="73"/>
      <c r="W130" s="73"/>
      <c r="X130" s="73"/>
      <c r="Y130" s="73" t="s">
        <v>83</v>
      </c>
      <c r="Z130" s="73"/>
      <c r="AA130" s="73"/>
      <c r="AB130" s="73"/>
      <c r="AC130" s="109">
        <f>ROUND(AC18+AC68+AC129,5)</f>
        <v>571119.93999999994</v>
      </c>
      <c r="AE130" s="73"/>
      <c r="AF130" s="73"/>
      <c r="AG130" s="73"/>
      <c r="AH130" s="73"/>
      <c r="AI130" s="73"/>
      <c r="AJ130" s="73"/>
      <c r="AK130" s="73"/>
      <c r="AL130" s="89"/>
      <c r="AM130" s="89"/>
      <c r="AY130" s="73"/>
      <c r="AZ130" s="73"/>
      <c r="BA130" s="73"/>
      <c r="BB130" s="73"/>
      <c r="BC130" s="73" t="s">
        <v>83</v>
      </c>
      <c r="BD130" s="73"/>
      <c r="BE130" s="73"/>
      <c r="BF130" s="73"/>
      <c r="BG130" s="109">
        <f>ROUND(BG18+BG68+BG129,5)</f>
        <v>827378</v>
      </c>
    </row>
    <row r="131" spans="1:59" ht="12" customHeight="1" thickTop="1" thickBot="1" x14ac:dyDescent="0.25">
      <c r="A131" s="73"/>
      <c r="B131" s="90" t="s">
        <v>84</v>
      </c>
      <c r="C131" s="90"/>
      <c r="D131" s="90"/>
      <c r="E131" s="90"/>
      <c r="F131" s="90"/>
      <c r="G131" s="90"/>
      <c r="H131" s="173">
        <f t="shared" ref="H131" si="72">H16-H130</f>
        <v>67073.25</v>
      </c>
      <c r="I131" s="174">
        <f t="shared" ref="I131" si="73">I16-I130</f>
        <v>-14823.520000000004</v>
      </c>
      <c r="J131" s="174">
        <f t="shared" ref="J131" si="74">J16-J130</f>
        <v>40497.520000000004</v>
      </c>
      <c r="K131" s="174">
        <f t="shared" ref="K131:L131" si="75">K16-K130</f>
        <v>92747.250000000116</v>
      </c>
      <c r="L131" s="173">
        <f t="shared" si="75"/>
        <v>-39057</v>
      </c>
      <c r="M131" s="174">
        <f t="shared" ref="M131" si="76">M16-M130</f>
        <v>0</v>
      </c>
      <c r="N131" s="175">
        <f t="shared" ref="N131" si="77">N16-N130</f>
        <v>-9.2500000027939677E-2</v>
      </c>
      <c r="O131" s="174">
        <f t="shared" ref="O131" si="78">O16-O130</f>
        <v>-71342.742499999993</v>
      </c>
      <c r="P131" s="175">
        <f t="shared" ref="P131" si="79">P16-P130</f>
        <v>21404.507500000007</v>
      </c>
      <c r="R131" s="73"/>
      <c r="U131" s="152"/>
      <c r="V131" s="73"/>
      <c r="W131" s="73" t="s">
        <v>84</v>
      </c>
      <c r="X131" s="73"/>
      <c r="Y131" s="73"/>
      <c r="Z131" s="73"/>
      <c r="AA131" s="73"/>
      <c r="AB131" s="73"/>
      <c r="AC131" s="109">
        <f>ROUND(AC7+AC17-AC130,5)</f>
        <v>54524.03</v>
      </c>
      <c r="AE131" s="73"/>
      <c r="AF131" s="73"/>
      <c r="AG131" s="73"/>
      <c r="AH131" s="73"/>
      <c r="AI131" s="73"/>
      <c r="AJ131" s="73"/>
      <c r="AK131" s="73"/>
      <c r="AL131" s="89"/>
      <c r="AM131" s="89"/>
      <c r="AY131" s="73"/>
      <c r="AZ131" s="73"/>
      <c r="BA131" s="73" t="s">
        <v>84</v>
      </c>
      <c r="BB131" s="73"/>
      <c r="BC131" s="73"/>
      <c r="BD131" s="73"/>
      <c r="BE131" s="73"/>
      <c r="BF131" s="73"/>
      <c r="BG131" s="109">
        <f>ROUND(BG7+BG17-BG130,5)</f>
        <v>0</v>
      </c>
    </row>
    <row r="132" spans="1:59" ht="12" customHeight="1" thickBot="1" x14ac:dyDescent="0.25">
      <c r="H132" s="176"/>
      <c r="I132" s="176"/>
      <c r="J132" s="176"/>
      <c r="K132" s="176"/>
      <c r="L132" s="176"/>
      <c r="M132" s="176"/>
      <c r="N132" s="176"/>
      <c r="O132" s="176"/>
      <c r="P132" s="176"/>
      <c r="U132" s="152"/>
      <c r="V132" s="73" t="s">
        <v>121</v>
      </c>
      <c r="W132" s="73"/>
      <c r="X132" s="73"/>
      <c r="Y132" s="73"/>
      <c r="Z132" s="73"/>
      <c r="AA132" s="73"/>
      <c r="AB132" s="73"/>
      <c r="AC132" s="156">
        <f>AC131</f>
        <v>54524.03</v>
      </c>
      <c r="AE132" s="73"/>
      <c r="AF132" s="73"/>
      <c r="AG132" s="73"/>
      <c r="AH132" s="73"/>
      <c r="AI132" s="73"/>
      <c r="AJ132" s="73"/>
      <c r="AK132" s="73"/>
      <c r="AL132" s="167"/>
      <c r="AM132" s="167"/>
      <c r="AY132" s="73"/>
      <c r="AZ132" s="73" t="s">
        <v>121</v>
      </c>
      <c r="BA132" s="73"/>
      <c r="BB132" s="73"/>
      <c r="BC132" s="73"/>
      <c r="BD132" s="73"/>
      <c r="BE132" s="73"/>
      <c r="BF132" s="73"/>
      <c r="BG132" s="156">
        <f>BG131</f>
        <v>0</v>
      </c>
    </row>
    <row r="133" spans="1:59" ht="12" customHeight="1" thickTop="1" x14ac:dyDescent="0.2">
      <c r="H133" s="177"/>
      <c r="I133" s="177"/>
      <c r="J133" s="177"/>
      <c r="K133" s="177"/>
      <c r="L133" s="177"/>
      <c r="M133" s="177"/>
      <c r="N133" s="177"/>
      <c r="O133" s="177"/>
      <c r="P133" s="177"/>
      <c r="V133" s="152"/>
      <c r="W133" s="152"/>
      <c r="X133" s="152"/>
      <c r="Y133" s="152"/>
      <c r="Z133" s="152"/>
      <c r="AA133" s="152"/>
      <c r="AB133" s="152"/>
    </row>
    <row r="134" spans="1:59" ht="12" customHeight="1" x14ac:dyDescent="0.2">
      <c r="H134" s="177"/>
      <c r="I134" s="177"/>
      <c r="J134" s="177"/>
      <c r="K134" s="177"/>
      <c r="L134" s="177"/>
      <c r="M134" s="177"/>
      <c r="N134" s="177"/>
      <c r="O134" s="177"/>
      <c r="P134" s="177"/>
    </row>
    <row r="135" spans="1:59" ht="12" customHeight="1" x14ac:dyDescent="0.2">
      <c r="H135" s="177"/>
      <c r="I135" s="177"/>
      <c r="J135" s="177"/>
      <c r="K135" s="177"/>
      <c r="L135" s="177"/>
      <c r="M135" s="177"/>
    </row>
    <row r="136" spans="1:59" ht="12" customHeight="1" x14ac:dyDescent="0.2">
      <c r="H136" s="177"/>
      <c r="I136" s="177"/>
      <c r="J136" s="177"/>
      <c r="K136" s="177"/>
      <c r="L136" s="177"/>
      <c r="M136" s="177"/>
    </row>
    <row r="137" spans="1:59" ht="12" customHeight="1" x14ac:dyDescent="0.2">
      <c r="H137" s="177"/>
      <c r="I137" s="177"/>
      <c r="J137" s="177"/>
      <c r="K137" s="177"/>
      <c r="L137" s="177"/>
      <c r="M137" s="177"/>
    </row>
    <row r="138" spans="1:59" ht="12" customHeight="1" x14ac:dyDescent="0.2">
      <c r="E138" s="178"/>
      <c r="G138" s="179"/>
    </row>
    <row r="142" spans="1:59" ht="12" customHeight="1" x14ac:dyDescent="0.2">
      <c r="E142" s="180"/>
    </row>
    <row r="144" spans="1:59" ht="12" customHeight="1" x14ac:dyDescent="0.2">
      <c r="G144" s="181"/>
    </row>
    <row r="145" spans="6:7" ht="12" customHeight="1" x14ac:dyDescent="0.2">
      <c r="G145" s="181"/>
    </row>
    <row r="146" spans="6:7" ht="12" customHeight="1" x14ac:dyDescent="0.2">
      <c r="G146" s="181"/>
    </row>
    <row r="147" spans="6:7" ht="12" customHeight="1" x14ac:dyDescent="0.2">
      <c r="G147" s="181"/>
    </row>
    <row r="148" spans="6:7" ht="12" customHeight="1" x14ac:dyDescent="0.2">
      <c r="G148" s="181"/>
    </row>
    <row r="149" spans="6:7" ht="12" customHeight="1" x14ac:dyDescent="0.2">
      <c r="G149" s="181"/>
    </row>
    <row r="151" spans="6:7" ht="12" customHeight="1" x14ac:dyDescent="0.2">
      <c r="G151" s="181"/>
    </row>
    <row r="157" spans="6:7" ht="12" customHeight="1" x14ac:dyDescent="0.2">
      <c r="F157" s="178"/>
    </row>
  </sheetData>
  <mergeCells count="3">
    <mergeCell ref="H2:K2"/>
    <mergeCell ref="L2:N2"/>
    <mergeCell ref="O2:P2"/>
  </mergeCells>
  <pageMargins left="0.25" right="0.25" top="0.75" bottom="0.75" header="0.3" footer="0.3"/>
  <pageSetup scale="76" fitToHeight="0" orientation="landscape" r:id="rId1"/>
  <headerFooter>
    <oddHeader>&amp;L&amp;"Arial,Bold"&amp;8&amp;T
&amp;D
 Accrual Basis&amp;C&amp;"Arial,Bold"&amp;13 McKnight Crossings Church of Christ&amp;12
&amp;14 Budget Planning 2024</oddHeader>
  </headerFooter>
  <rowBreaks count="2" manualBreakCount="2">
    <brk id="46" max="16383" man="1"/>
    <brk id="88" max="16383" man="1"/>
  </rowBreaks>
  <ignoredErrors>
    <ignoredError sqref="L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964E-2BC0-F441-843B-303F3F86F792}">
  <sheetPr>
    <pageSetUpPr fitToPage="1"/>
  </sheetPr>
  <dimension ref="A1:W44"/>
  <sheetViews>
    <sheetView topLeftCell="A15" zoomScaleNormal="100" workbookViewId="0">
      <selection activeCell="S2" sqref="S2"/>
    </sheetView>
  </sheetViews>
  <sheetFormatPr defaultColWidth="8.7109375" defaultRowHeight="15" x14ac:dyDescent="0.25"/>
  <cols>
    <col min="1" max="1" width="7.42578125" style="19" customWidth="1"/>
    <col min="2" max="2" width="19.42578125" customWidth="1"/>
    <col min="3" max="3" width="1.7109375" customWidth="1"/>
    <col min="4" max="4" width="7.7109375" customWidth="1"/>
    <col min="5" max="5" width="6.28515625" customWidth="1"/>
    <col min="6" max="6" width="7.42578125" customWidth="1"/>
    <col min="7" max="7" width="8" customWidth="1"/>
    <col min="8" max="8" width="6.42578125" customWidth="1"/>
    <col min="9" max="9" width="7.7109375" customWidth="1"/>
    <col min="10" max="11" width="6.7109375" customWidth="1"/>
    <col min="12" max="12" width="6.42578125" customWidth="1"/>
    <col min="13" max="13" width="8.7109375" customWidth="1"/>
    <col min="14" max="14" width="7.7109375" customWidth="1"/>
    <col min="15" max="16" width="5.7109375" customWidth="1"/>
    <col min="17" max="17" width="7.42578125" bestFit="1" customWidth="1"/>
    <col min="18" max="18" width="7.42578125" customWidth="1"/>
    <col min="19" max="19" width="7.7109375" customWidth="1"/>
    <col min="20" max="20" width="10.140625" bestFit="1" customWidth="1"/>
  </cols>
  <sheetData>
    <row r="1" spans="1:18" ht="18.75" x14ac:dyDescent="0.3">
      <c r="A1" s="72" t="s">
        <v>241</v>
      </c>
      <c r="B1" s="64"/>
      <c r="C1" s="64"/>
      <c r="D1" s="64"/>
      <c r="E1" s="64"/>
      <c r="F1" s="64"/>
      <c r="G1" s="72" t="s">
        <v>240</v>
      </c>
      <c r="H1" s="72"/>
      <c r="I1" s="72"/>
      <c r="J1" s="72"/>
      <c r="K1" s="72"/>
      <c r="L1" s="72"/>
      <c r="M1" s="64"/>
      <c r="N1" s="64"/>
      <c r="O1" s="64"/>
      <c r="P1" s="64"/>
      <c r="Q1" s="64"/>
    </row>
    <row r="2" spans="1:18" x14ac:dyDescent="0.25">
      <c r="E2" s="1">
        <v>2024</v>
      </c>
      <c r="G2" s="71" t="s">
        <v>239</v>
      </c>
      <c r="H2" s="70" t="s">
        <v>185</v>
      </c>
    </row>
    <row r="3" spans="1:18" x14ac:dyDescent="0.25">
      <c r="A3" s="1">
        <v>2024</v>
      </c>
      <c r="D3" s="1">
        <v>2023</v>
      </c>
      <c r="E3" s="69" t="s">
        <v>238</v>
      </c>
      <c r="F3" s="1">
        <v>2024</v>
      </c>
      <c r="G3" s="1">
        <v>2024</v>
      </c>
      <c r="H3" s="1" t="s">
        <v>237</v>
      </c>
      <c r="I3" s="68">
        <v>0.03</v>
      </c>
      <c r="O3" t="s">
        <v>236</v>
      </c>
    </row>
    <row r="4" spans="1:18" x14ac:dyDescent="0.25">
      <c r="A4" s="19" t="s">
        <v>234</v>
      </c>
      <c r="D4" s="1" t="s">
        <v>235</v>
      </c>
      <c r="E4" s="68" t="s">
        <v>234</v>
      </c>
      <c r="F4" s="67" t="s">
        <v>233</v>
      </c>
      <c r="G4" s="1" t="s">
        <v>232</v>
      </c>
      <c r="H4" s="1" t="s">
        <v>231</v>
      </c>
      <c r="I4" s="1" t="s">
        <v>230</v>
      </c>
      <c r="J4" s="1"/>
      <c r="K4" s="1"/>
      <c r="L4" s="1"/>
      <c r="M4" s="1"/>
      <c r="N4" s="1" t="s">
        <v>229</v>
      </c>
      <c r="O4" s="66" t="s">
        <v>228</v>
      </c>
      <c r="P4" s="1" t="s">
        <v>227</v>
      </c>
      <c r="Q4" s="1"/>
    </row>
    <row r="5" spans="1:18" x14ac:dyDescent="0.25">
      <c r="A5" s="65" t="s">
        <v>226</v>
      </c>
      <c r="B5" s="61" t="s">
        <v>225</v>
      </c>
      <c r="C5" s="64"/>
      <c r="D5" s="61" t="s">
        <v>224</v>
      </c>
      <c r="E5" s="61" t="s">
        <v>223</v>
      </c>
      <c r="F5" s="63" t="s">
        <v>222</v>
      </c>
      <c r="G5" s="61"/>
      <c r="H5" s="61" t="s">
        <v>221</v>
      </c>
      <c r="I5" s="61" t="s">
        <v>220</v>
      </c>
      <c r="J5" s="61" t="s">
        <v>219</v>
      </c>
      <c r="K5" s="61" t="s">
        <v>218</v>
      </c>
      <c r="L5" s="61" t="s">
        <v>217</v>
      </c>
      <c r="M5" s="61" t="s">
        <v>216</v>
      </c>
      <c r="N5" s="61" t="s">
        <v>215</v>
      </c>
      <c r="O5" s="62" t="s">
        <v>214</v>
      </c>
      <c r="P5" s="61" t="s">
        <v>213</v>
      </c>
      <c r="Q5" s="61" t="s">
        <v>212</v>
      </c>
    </row>
    <row r="6" spans="1:18" s="20" customFormat="1" x14ac:dyDescent="0.25">
      <c r="B6" s="60" t="s">
        <v>211</v>
      </c>
    </row>
    <row r="7" spans="1:18" s="20" customFormat="1" x14ac:dyDescent="0.25">
      <c r="A7" s="19"/>
      <c r="B7" s="58" t="s">
        <v>210</v>
      </c>
      <c r="C7" s="45"/>
      <c r="D7" s="45">
        <v>46350</v>
      </c>
      <c r="E7" s="45">
        <f>D7*0.1</f>
        <v>4635</v>
      </c>
      <c r="F7" s="45"/>
      <c r="G7" s="45">
        <f>D7+E7+F7</f>
        <v>50985</v>
      </c>
      <c r="H7" s="45"/>
      <c r="I7" s="45">
        <f>G7*0.03</f>
        <v>1529.55</v>
      </c>
      <c r="J7" s="45"/>
      <c r="K7" s="45">
        <f>513.5*12</f>
        <v>6162</v>
      </c>
      <c r="L7" s="45">
        <v>319</v>
      </c>
      <c r="M7" s="45">
        <v>257</v>
      </c>
      <c r="N7" s="45">
        <v>1500</v>
      </c>
      <c r="O7" s="45"/>
      <c r="P7" s="45"/>
      <c r="Q7" s="45">
        <f>SUM(G7:P7)</f>
        <v>60752.55</v>
      </c>
      <c r="R7" s="45"/>
    </row>
    <row r="8" spans="1:18" s="20" customFormat="1" x14ac:dyDescent="0.25">
      <c r="A8" s="19"/>
      <c r="B8" s="58" t="s">
        <v>209</v>
      </c>
      <c r="C8" s="45"/>
      <c r="D8" s="45">
        <v>43000</v>
      </c>
      <c r="E8" s="45">
        <f>D8*0.1</f>
        <v>4300</v>
      </c>
      <c r="F8" s="45"/>
      <c r="G8" s="45">
        <f>D8+E8+F8</f>
        <v>47300</v>
      </c>
      <c r="H8" s="45"/>
      <c r="I8" s="45">
        <f>G8*0.03</f>
        <v>1419</v>
      </c>
      <c r="J8" s="45"/>
      <c r="K8" s="45">
        <f>513.5*12</f>
        <v>6162</v>
      </c>
      <c r="L8" s="45">
        <v>319</v>
      </c>
      <c r="M8" s="45">
        <v>228</v>
      </c>
      <c r="N8" s="45">
        <v>1500</v>
      </c>
      <c r="O8" s="45"/>
      <c r="P8" s="45"/>
      <c r="Q8" s="45">
        <f>SUM(G8:P8)</f>
        <v>56928</v>
      </c>
      <c r="R8" s="45"/>
    </row>
    <row r="9" spans="1:18" s="20" customFormat="1" x14ac:dyDescent="0.25">
      <c r="A9" s="19"/>
      <c r="B9" s="58" t="s">
        <v>208</v>
      </c>
      <c r="C9" s="45" t="s">
        <v>140</v>
      </c>
      <c r="D9" s="45">
        <v>113106</v>
      </c>
      <c r="E9" s="45">
        <f>D9*0.04</f>
        <v>4524.24</v>
      </c>
      <c r="F9" s="45">
        <f>-(D9+E9)/12</f>
        <v>-9802.52</v>
      </c>
      <c r="G9" s="45">
        <f>D9+E9+F9</f>
        <v>107827.72</v>
      </c>
      <c r="H9" s="45"/>
      <c r="I9" s="45">
        <f>G9*0.03</f>
        <v>3234.8316</v>
      </c>
      <c r="J9" s="45"/>
      <c r="K9" s="45">
        <f>513.5*12</f>
        <v>6162</v>
      </c>
      <c r="L9" s="45">
        <f>653</f>
        <v>653</v>
      </c>
      <c r="M9" s="45">
        <v>530</v>
      </c>
      <c r="N9" s="45">
        <v>1500</v>
      </c>
      <c r="O9" s="45">
        <v>1200</v>
      </c>
      <c r="P9" s="45"/>
      <c r="Q9" s="45">
        <f>SUM(G9:P9)</f>
        <v>121107.55160000001</v>
      </c>
      <c r="R9" s="45"/>
    </row>
    <row r="10" spans="1:18" s="20" customFormat="1" x14ac:dyDescent="0.25">
      <c r="A10" s="19"/>
      <c r="B10" s="58" t="s">
        <v>207</v>
      </c>
      <c r="C10" s="45"/>
      <c r="D10" s="45">
        <v>71056</v>
      </c>
      <c r="E10" s="45">
        <v>0</v>
      </c>
      <c r="F10" s="45"/>
      <c r="G10" s="45">
        <v>0</v>
      </c>
      <c r="H10" s="45">
        <v>0</v>
      </c>
      <c r="I10" s="45">
        <f>(G10+H10)*0.03</f>
        <v>0</v>
      </c>
      <c r="J10" s="45"/>
      <c r="K10" s="45"/>
      <c r="L10" s="45"/>
      <c r="M10" s="45"/>
      <c r="N10" s="45"/>
      <c r="O10" s="45"/>
      <c r="P10" s="45"/>
      <c r="Q10" s="45">
        <f>SUM(G10:P10)</f>
        <v>0</v>
      </c>
      <c r="R10" s="45"/>
    </row>
    <row r="11" spans="1:18" s="20" customFormat="1" x14ac:dyDescent="0.25">
      <c r="A11" s="19"/>
      <c r="B11" s="58" t="s">
        <v>206</v>
      </c>
      <c r="C11" s="45" t="s">
        <v>141</v>
      </c>
      <c r="D11" s="45">
        <v>80000</v>
      </c>
      <c r="E11" s="45">
        <v>0</v>
      </c>
      <c r="F11" s="45">
        <f>-(D11+E11)/12*6</f>
        <v>-40000</v>
      </c>
      <c r="G11" s="45">
        <f>D11+E11+F11</f>
        <v>40000</v>
      </c>
      <c r="H11" s="45"/>
      <c r="I11" s="45">
        <f>G11*0.03</f>
        <v>1200</v>
      </c>
      <c r="J11" s="45"/>
      <c r="K11" s="45">
        <f>(1200*6)-L11</f>
        <v>6873.5</v>
      </c>
      <c r="L11" s="45">
        <f>653*0.5</f>
        <v>326.5</v>
      </c>
      <c r="M11" s="45">
        <f>530*0.5</f>
        <v>265</v>
      </c>
      <c r="N11" s="45">
        <v>750</v>
      </c>
      <c r="O11" s="45">
        <v>600</v>
      </c>
      <c r="P11" s="45"/>
      <c r="Q11" s="45">
        <f>SUM(G11:P11)</f>
        <v>50015</v>
      </c>
      <c r="R11" s="45"/>
    </row>
    <row r="12" spans="1:18" s="20" customFormat="1" x14ac:dyDescent="0.25">
      <c r="A12" s="19"/>
      <c r="B12" s="58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s="20" customFormat="1" x14ac:dyDescent="0.25">
      <c r="A13" s="19"/>
      <c r="B13" s="58" t="s">
        <v>205</v>
      </c>
      <c r="C13" s="45"/>
      <c r="D13" s="45"/>
      <c r="E13" s="45"/>
      <c r="F13" s="45"/>
      <c r="G13" s="45"/>
      <c r="H13" s="45"/>
      <c r="I13" s="45">
        <v>500</v>
      </c>
      <c r="J13" s="57"/>
      <c r="K13" s="45"/>
      <c r="L13" s="45"/>
      <c r="M13" s="45"/>
      <c r="N13" s="45"/>
      <c r="O13" s="45"/>
      <c r="P13" s="45"/>
      <c r="Q13" s="45">
        <f>SUM(G13:P13)</f>
        <v>500</v>
      </c>
      <c r="R13" s="59"/>
    </row>
    <row r="14" spans="1:18" s="20" customFormat="1" x14ac:dyDescent="0.25">
      <c r="A14" s="19"/>
      <c r="B14" s="58"/>
      <c r="C14" s="45"/>
      <c r="D14" s="45"/>
      <c r="E14" s="45"/>
      <c r="F14" s="45"/>
      <c r="G14" s="45"/>
      <c r="H14" s="45"/>
      <c r="I14" s="45"/>
      <c r="J14" s="57"/>
      <c r="K14" s="45"/>
      <c r="L14" s="45"/>
      <c r="M14" s="45"/>
      <c r="N14" s="45"/>
      <c r="O14" s="45"/>
      <c r="P14" s="45"/>
      <c r="Q14" s="45"/>
      <c r="R14" s="56">
        <f>SUM(Q7:Q13)</f>
        <v>289303.10159999999</v>
      </c>
    </row>
    <row r="15" spans="1:18" s="20" customFormat="1" x14ac:dyDescent="0.25">
      <c r="A15" s="19"/>
      <c r="B15" s="55" t="s">
        <v>204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3"/>
    </row>
    <row r="16" spans="1:18" s="20" customFormat="1" x14ac:dyDescent="0.25">
      <c r="A16" s="19"/>
      <c r="B16" s="52" t="s">
        <v>203</v>
      </c>
      <c r="C16" s="49"/>
      <c r="D16" s="49">
        <v>0</v>
      </c>
      <c r="E16" s="49">
        <f>D16*0.03</f>
        <v>0</v>
      </c>
      <c r="F16" s="49"/>
      <c r="G16" s="49">
        <f>D16+E16+F16</f>
        <v>0</v>
      </c>
      <c r="H16" s="49"/>
      <c r="I16" s="49"/>
      <c r="J16" s="49">
        <f>(G16*0.0765)</f>
        <v>0</v>
      </c>
      <c r="K16" s="49"/>
      <c r="L16" s="49"/>
      <c r="M16" s="49"/>
      <c r="N16" s="51"/>
      <c r="O16" s="49"/>
      <c r="P16" s="49"/>
      <c r="Q16" s="49">
        <f>SUM(G16:P16)</f>
        <v>0</v>
      </c>
      <c r="R16" s="50"/>
    </row>
    <row r="17" spans="1:22" s="20" customFormat="1" x14ac:dyDescent="0.25">
      <c r="A17" s="1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8"/>
      <c r="R17" s="47">
        <f>SUM(Q16)</f>
        <v>0</v>
      </c>
    </row>
    <row r="18" spans="1:22" s="20" customFormat="1" x14ac:dyDescent="0.25">
      <c r="A18" s="19"/>
      <c r="B18" s="30" t="s">
        <v>202</v>
      </c>
    </row>
    <row r="19" spans="1:22" s="20" customFormat="1" x14ac:dyDescent="0.25">
      <c r="A19" s="19">
        <f>20*1.04</f>
        <v>20.8</v>
      </c>
      <c r="B19" s="46" t="s">
        <v>201</v>
      </c>
      <c r="C19" s="42"/>
      <c r="D19" s="42">
        <f>20*20*52</f>
        <v>20800</v>
      </c>
      <c r="E19" s="42">
        <f>D19*0.04</f>
        <v>832</v>
      </c>
      <c r="F19" s="42"/>
      <c r="G19" s="42">
        <f>D19+E19+F19</f>
        <v>21632</v>
      </c>
      <c r="H19" s="42"/>
      <c r="I19" s="42"/>
      <c r="J19" s="42">
        <f>(G19)*0.0765</f>
        <v>1654.848</v>
      </c>
      <c r="K19" s="42"/>
      <c r="L19" s="42"/>
      <c r="M19" s="42"/>
      <c r="N19" s="42"/>
      <c r="O19" s="42"/>
      <c r="P19" s="42"/>
      <c r="Q19" s="42">
        <f>SUM(G19:P19)</f>
        <v>23286.847999999998</v>
      </c>
      <c r="R19" s="42"/>
      <c r="T19" s="23"/>
    </row>
    <row r="20" spans="1:22" s="20" customFormat="1" x14ac:dyDescent="0.25">
      <c r="A20" s="19">
        <v>25.8</v>
      </c>
      <c r="B20" s="46" t="s">
        <v>200</v>
      </c>
      <c r="C20" s="42"/>
      <c r="D20" s="42">
        <v>48791</v>
      </c>
      <c r="E20" s="42">
        <f>D20*0.1</f>
        <v>4879.1000000000004</v>
      </c>
      <c r="F20" s="42"/>
      <c r="G20" s="42">
        <f>D20+E20+F20</f>
        <v>53670.1</v>
      </c>
      <c r="H20" s="42"/>
      <c r="I20" s="42">
        <f>G20*0.03</f>
        <v>1610.1029999999998</v>
      </c>
      <c r="J20" s="42">
        <f>G20*0.0765</f>
        <v>4105.7626499999997</v>
      </c>
      <c r="K20" s="45">
        <f>513.5*12</f>
        <v>6162</v>
      </c>
      <c r="L20" s="42">
        <v>1087</v>
      </c>
      <c r="M20" s="42">
        <v>229</v>
      </c>
      <c r="N20" s="42"/>
      <c r="O20" s="42"/>
      <c r="P20" s="42"/>
      <c r="Q20" s="42">
        <f>SUM(G20:P20)</f>
        <v>66863.965649999998</v>
      </c>
      <c r="R20" s="44"/>
    </row>
    <row r="21" spans="1:22" s="20" customFormat="1" x14ac:dyDescent="0.25">
      <c r="A21" s="19"/>
      <c r="B21" s="42"/>
      <c r="C21" s="42"/>
      <c r="D21" s="43" t="s">
        <v>199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1"/>
      <c r="R21" s="41">
        <f>SUM(Q19:Q20)</f>
        <v>90150.813649999996</v>
      </c>
      <c r="T21" s="23"/>
    </row>
    <row r="22" spans="1:22" s="20" customFormat="1" x14ac:dyDescent="0.25">
      <c r="A22" s="19"/>
    </row>
    <row r="23" spans="1:22" s="20" customFormat="1" x14ac:dyDescent="0.25">
      <c r="A23" s="19"/>
      <c r="B23" s="30" t="s">
        <v>198</v>
      </c>
    </row>
    <row r="24" spans="1:22" s="20" customFormat="1" x14ac:dyDescent="0.25">
      <c r="A24" s="19">
        <f>22.19*1.04</f>
        <v>23.077600000000004</v>
      </c>
      <c r="B24" s="40" t="s">
        <v>197</v>
      </c>
      <c r="C24" s="38" t="s">
        <v>187</v>
      </c>
      <c r="D24" s="38">
        <f>22.19*20*52</f>
        <v>23077.600000000002</v>
      </c>
      <c r="E24" s="38">
        <f>D24*0.04</f>
        <v>923.10400000000016</v>
      </c>
      <c r="F24" s="38"/>
      <c r="G24" s="38">
        <f>D24+E24+F24</f>
        <v>24000.704000000002</v>
      </c>
      <c r="H24" s="38"/>
      <c r="I24" s="38"/>
      <c r="J24" s="38">
        <f>G24*0.0765</f>
        <v>1836.053856</v>
      </c>
      <c r="K24" s="38"/>
      <c r="L24" s="38"/>
      <c r="M24" s="38"/>
      <c r="N24" s="38"/>
      <c r="O24" s="38"/>
      <c r="P24" s="38"/>
      <c r="Q24" s="38">
        <f>SUM(G24:P24)</f>
        <v>25836.757856</v>
      </c>
      <c r="R24" s="39"/>
    </row>
    <row r="25" spans="1:22" s="20" customFormat="1" x14ac:dyDescent="0.25">
      <c r="A25" s="19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7"/>
      <c r="R25" s="37">
        <f>SUM(Q24)</f>
        <v>25836.757856</v>
      </c>
      <c r="U25" s="36"/>
      <c r="V25" s="23"/>
    </row>
    <row r="26" spans="1:22" s="20" customFormat="1" x14ac:dyDescent="0.25">
      <c r="A26" s="19"/>
      <c r="B26" s="30" t="s">
        <v>196</v>
      </c>
    </row>
    <row r="27" spans="1:22" s="20" customFormat="1" x14ac:dyDescent="0.25">
      <c r="A27" s="29">
        <f>13.39*1.04</f>
        <v>13.925600000000001</v>
      </c>
      <c r="B27" s="34" t="s">
        <v>195</v>
      </c>
      <c r="C27" s="32" t="s">
        <v>187</v>
      </c>
      <c r="D27" s="32">
        <f>13.39*7*52</f>
        <v>4873.96</v>
      </c>
      <c r="E27" s="32">
        <f>D27*0.04</f>
        <v>194.95840000000001</v>
      </c>
      <c r="F27" s="32"/>
      <c r="G27" s="32">
        <f>D27+E27+F27</f>
        <v>5068.9184000000005</v>
      </c>
      <c r="H27" s="32"/>
      <c r="I27" s="32"/>
      <c r="J27" s="32">
        <f>G27*0.0765</f>
        <v>387.77225760000005</v>
      </c>
      <c r="K27" s="32"/>
      <c r="L27" s="32"/>
      <c r="M27" s="32"/>
      <c r="N27" s="32"/>
      <c r="O27" s="32"/>
      <c r="P27" s="32"/>
      <c r="Q27" s="32">
        <f>SUM(G27:P27)</f>
        <v>5456.6906576000001</v>
      </c>
      <c r="R27" s="32"/>
      <c r="T27" s="35"/>
      <c r="V27" s="23"/>
    </row>
    <row r="28" spans="1:22" s="20" customFormat="1" x14ac:dyDescent="0.25">
      <c r="A28" s="29">
        <f>13.39*1.04</f>
        <v>13.925600000000001</v>
      </c>
      <c r="B28" s="34" t="s">
        <v>194</v>
      </c>
      <c r="C28" s="32" t="s">
        <v>187</v>
      </c>
      <c r="D28" s="32">
        <f>13.39*7*52</f>
        <v>4873.96</v>
      </c>
      <c r="E28" s="32">
        <f>D28*0.04</f>
        <v>194.95840000000001</v>
      </c>
      <c r="F28" s="32"/>
      <c r="G28" s="32">
        <f>D28+E28+F28</f>
        <v>5068.9184000000005</v>
      </c>
      <c r="H28" s="32"/>
      <c r="I28" s="32"/>
      <c r="J28" s="32">
        <f>G28*0.0765</f>
        <v>387.77225760000005</v>
      </c>
      <c r="K28" s="32"/>
      <c r="L28" s="32"/>
      <c r="M28" s="32"/>
      <c r="N28" s="32"/>
      <c r="O28" s="32"/>
      <c r="P28" s="32"/>
      <c r="Q28" s="32">
        <f>SUM(G28:P28)</f>
        <v>5456.6906576000001</v>
      </c>
      <c r="R28" s="32"/>
      <c r="T28" s="35"/>
      <c r="V28" s="23"/>
    </row>
    <row r="29" spans="1:22" s="20" customFormat="1" x14ac:dyDescent="0.25">
      <c r="A29" s="29">
        <f>12*1.04</f>
        <v>12.48</v>
      </c>
      <c r="B29" s="34" t="s">
        <v>193</v>
      </c>
      <c r="C29" s="32" t="s">
        <v>187</v>
      </c>
      <c r="D29" s="32">
        <f>12*7*52</f>
        <v>4368</v>
      </c>
      <c r="E29" s="32">
        <f>D29*0.04</f>
        <v>174.72</v>
      </c>
      <c r="F29" s="32"/>
      <c r="G29" s="32">
        <f>D29+E29+F29</f>
        <v>4542.72</v>
      </c>
      <c r="H29" s="32"/>
      <c r="I29" s="32"/>
      <c r="J29" s="32">
        <f>G29*0.0765</f>
        <v>347.51808</v>
      </c>
      <c r="K29" s="32"/>
      <c r="L29" s="32"/>
      <c r="M29" s="32"/>
      <c r="N29" s="32"/>
      <c r="O29" s="32"/>
      <c r="P29" s="32"/>
      <c r="Q29" s="32">
        <f>SUM(G29:P29)</f>
        <v>4890.2380800000001</v>
      </c>
      <c r="R29" s="32"/>
    </row>
    <row r="30" spans="1:22" s="20" customFormat="1" x14ac:dyDescent="0.25">
      <c r="A30" s="29"/>
      <c r="B30" s="34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</row>
    <row r="31" spans="1:22" s="20" customFormat="1" x14ac:dyDescent="0.25">
      <c r="A31" s="19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1"/>
      <c r="R31" s="31">
        <f>SUM(Q27:Q30)</f>
        <v>15803.619395199999</v>
      </c>
    </row>
    <row r="32" spans="1:22" s="20" customFormat="1" x14ac:dyDescent="0.25">
      <c r="A32" s="19"/>
      <c r="B32" s="30" t="s">
        <v>192</v>
      </c>
    </row>
    <row r="33" spans="1:23" s="20" customFormat="1" x14ac:dyDescent="0.25">
      <c r="A33" s="29">
        <v>12.3</v>
      </c>
      <c r="B33" s="28" t="s">
        <v>191</v>
      </c>
      <c r="C33" s="27" t="s">
        <v>153</v>
      </c>
      <c r="D33" s="27">
        <v>5200</v>
      </c>
      <c r="E33" s="27">
        <v>100</v>
      </c>
      <c r="F33" s="27">
        <v>0</v>
      </c>
      <c r="G33" s="27">
        <f>D33+E33+F33</f>
        <v>5300</v>
      </c>
      <c r="H33" s="27"/>
      <c r="I33" s="27"/>
      <c r="J33" s="27">
        <f>G33*0.0765</f>
        <v>405.45</v>
      </c>
      <c r="K33" s="27"/>
      <c r="L33" s="27"/>
      <c r="M33" s="27"/>
      <c r="N33" s="27"/>
      <c r="O33" s="27"/>
      <c r="P33" s="27"/>
      <c r="Q33" s="27"/>
      <c r="R33" s="27">
        <f>SUM(G33:O33)</f>
        <v>5705.45</v>
      </c>
    </row>
    <row r="34" spans="1:23" s="20" customFormat="1" x14ac:dyDescent="0.25">
      <c r="A34" s="19"/>
      <c r="B34" s="28" t="s">
        <v>190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>
        <v>400</v>
      </c>
      <c r="O34" s="27"/>
      <c r="P34" s="27"/>
      <c r="Q34" s="27"/>
      <c r="R34" s="27">
        <f>SUM(G34:O34)</f>
        <v>400</v>
      </c>
    </row>
    <row r="35" spans="1:23" s="20" customFormat="1" x14ac:dyDescent="0.25">
      <c r="A35" s="19"/>
      <c r="B35" s="26" t="s">
        <v>189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4">
        <v>5000</v>
      </c>
      <c r="Q35" s="25"/>
      <c r="R35" s="24">
        <f>SUM(G35:P35)</f>
        <v>5000</v>
      </c>
      <c r="W35" s="23"/>
    </row>
    <row r="36" spans="1:23" s="20" customFormat="1" x14ac:dyDescent="0.25">
      <c r="A36" s="19"/>
      <c r="D36" s="22">
        <f t="shared" ref="D36:P36" si="0">SUM(D7:D35)</f>
        <v>465496.52</v>
      </c>
      <c r="E36" s="22">
        <f t="shared" si="0"/>
        <v>20758.0808</v>
      </c>
      <c r="F36" s="22">
        <f t="shared" si="0"/>
        <v>-49802.520000000004</v>
      </c>
      <c r="G36" s="22">
        <f t="shared" si="0"/>
        <v>365396.0808</v>
      </c>
      <c r="H36" s="22">
        <f t="shared" si="0"/>
        <v>0</v>
      </c>
      <c r="I36" s="22">
        <f t="shared" si="0"/>
        <v>9493.4845999999998</v>
      </c>
      <c r="J36" s="22">
        <f t="shared" si="0"/>
        <v>9125.177101199999</v>
      </c>
      <c r="K36" s="22">
        <f t="shared" si="0"/>
        <v>31521.5</v>
      </c>
      <c r="L36" s="22">
        <f t="shared" si="0"/>
        <v>2704.5</v>
      </c>
      <c r="M36" s="22">
        <f t="shared" si="0"/>
        <v>1509</v>
      </c>
      <c r="N36" s="22">
        <f t="shared" si="0"/>
        <v>5650</v>
      </c>
      <c r="O36" s="22">
        <f t="shared" si="0"/>
        <v>1800</v>
      </c>
      <c r="P36" s="20">
        <f t="shared" si="0"/>
        <v>5000</v>
      </c>
      <c r="Q36" s="22"/>
      <c r="R36" s="9">
        <f>SUM(R7:R35)</f>
        <v>432199.74250119994</v>
      </c>
      <c r="T36" s="20">
        <v>465434</v>
      </c>
    </row>
    <row r="37" spans="1:23" s="20" customFormat="1" x14ac:dyDescent="0.25">
      <c r="A37" s="19"/>
      <c r="T37" s="21" t="s">
        <v>188</v>
      </c>
    </row>
    <row r="38" spans="1:23" s="20" customFormat="1" x14ac:dyDescent="0.25">
      <c r="A38" s="19" t="s">
        <v>187</v>
      </c>
      <c r="B38" t="s">
        <v>186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23" x14ac:dyDescent="0.25">
      <c r="A39" s="19" t="s">
        <v>185</v>
      </c>
      <c r="B39" t="s">
        <v>184</v>
      </c>
    </row>
    <row r="40" spans="1:23" x14ac:dyDescent="0.25">
      <c r="A40" s="19" t="s">
        <v>140</v>
      </c>
      <c r="B40" t="s">
        <v>183</v>
      </c>
    </row>
    <row r="41" spans="1:23" x14ac:dyDescent="0.25">
      <c r="A41" s="19" t="s">
        <v>141</v>
      </c>
      <c r="B41" t="s">
        <v>182</v>
      </c>
    </row>
    <row r="42" spans="1:23" x14ac:dyDescent="0.25">
      <c r="A42" s="19" t="s">
        <v>153</v>
      </c>
      <c r="B42" t="s">
        <v>181</v>
      </c>
    </row>
    <row r="44" spans="1:23" x14ac:dyDescent="0.25">
      <c r="B44" t="s">
        <v>180</v>
      </c>
    </row>
  </sheetData>
  <pageMargins left="0.2" right="0.2" top="0" bottom="0" header="0.3" footer="0.3"/>
  <pageSetup scale="93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2024 Exp</vt:lpstr>
      <vt:lpstr>2024-Payroll</vt:lpstr>
      <vt:lpstr>'2024 Exp'!Print_Area</vt:lpstr>
      <vt:lpstr>'2024-Payroll'!Print_Area</vt:lpstr>
      <vt:lpstr>'2024 Exp'!Print_Titles</vt:lpstr>
      <vt:lpstr>'2024-Payroll'!Print_Titles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Britzmann</dc:creator>
  <cp:lastModifiedBy>Blackford, Bret B.</cp:lastModifiedBy>
  <cp:lastPrinted>2024-01-08T15:44:20Z</cp:lastPrinted>
  <dcterms:created xsi:type="dcterms:W3CDTF">2014-09-05T18:36:36Z</dcterms:created>
  <dcterms:modified xsi:type="dcterms:W3CDTF">2024-01-29T23:55:13Z</dcterms:modified>
</cp:coreProperties>
</file>