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lackford\Downloads\"/>
    </mc:Choice>
  </mc:AlternateContent>
  <xr:revisionPtr revIDLastSave="0" documentId="13_ncr:1_{1C8C8FA9-F7D1-417D-919F-7C260A863429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Summary" sheetId="5" r:id="rId1"/>
    <sheet name="2023-Elders" sheetId="4" r:id="rId2"/>
    <sheet name="2023-Payroll" sheetId="6" r:id="rId3"/>
    <sheet name="2023-Worksheet" sheetId="1" r:id="rId4"/>
  </sheets>
  <definedNames>
    <definedName name="_xlnm.Print_Area" localSheetId="1">'2023-Elders'!$A$1:$O$132</definedName>
    <definedName name="_xlnm.Print_Area" localSheetId="2">'2023-Payroll'!$A$1:$R$42</definedName>
    <definedName name="_xlnm.Print_Area" localSheetId="3">'2023-Worksheet'!$A$1:$O$134</definedName>
    <definedName name="_xlnm.Print_Titles" localSheetId="1">'2023-Elders'!$A:$G,'2023-Elders'!$1:$4</definedName>
    <definedName name="_xlnm.Print_Titles" localSheetId="2">'2023-Payroll'!$1:$1</definedName>
    <definedName name="_xlnm.Print_Titles" localSheetId="3">'2023-Worksheet'!$A:$G,'2023-Worksheet'!$1:$4</definedName>
    <definedName name="QB_COLUMN_59200" localSheetId="1" hidden="1">'2023-Elders'!#REF!</definedName>
    <definedName name="QB_COLUMN_59200" localSheetId="3" hidden="1">'2023-Worksheet'!#REF!</definedName>
    <definedName name="QB_COLUMN_76210" localSheetId="1" hidden="1">'2023-Elders'!$K$4</definedName>
    <definedName name="QB_COLUMN_76210" localSheetId="3" hidden="1">'2023-Worksheet'!$K$4</definedName>
    <definedName name="QB_DATA_0" localSheetId="1" hidden="1">'2023-Elders'!$9:$9,'2023-Elders'!#REF!,'2023-Elders'!$11:$11,'2023-Elders'!$12:$12,'2023-Elders'!$13:$13,'2023-Elders'!$19:$19,'2023-Elders'!$20:$20,'2023-Elders'!$21:$21,'2023-Elders'!$22:$22,'2023-Elders'!$23:$23,'2023-Elders'!$24:$24,'2023-Elders'!$25:$25,'2023-Elders'!$26:$26,'2023-Elders'!$27:$27,'2023-Elders'!$28:$28,'2023-Elders'!$29:$29</definedName>
    <definedName name="QB_DATA_0" localSheetId="3" hidden="1">'2023-Worksheet'!$9:$9,'2023-Worksheet'!#REF!,'2023-Worksheet'!$11:$11,'2023-Worksheet'!$12:$12,'2023-Worksheet'!$13:$13,'2023-Worksheet'!$19:$19,'2023-Worksheet'!$20:$20,'2023-Worksheet'!$21:$21,'2023-Worksheet'!$22:$22,'2023-Worksheet'!$23:$23,'2023-Worksheet'!$24:$24,'2023-Worksheet'!$25:$25,'2023-Worksheet'!$26:$26,'2023-Worksheet'!$27:$27,'2023-Worksheet'!$28:$28,'2023-Worksheet'!$29:$29</definedName>
    <definedName name="QB_DATA_1" localSheetId="1" hidden="1">'2023-Elders'!$30:$30,'2023-Elders'!$31:$31,'2023-Elders'!$32:$32,'2023-Elders'!#REF!,'2023-Elders'!$33:$33,'2023-Elders'!$34:$34,'2023-Elders'!$37:$37,'2023-Elders'!$38:$38,'2023-Elders'!$39:$39,'2023-Elders'!$40:$40,'2023-Elders'!$41:$41,'2023-Elders'!$42:$42,'2023-Elders'!$43:$43,'2023-Elders'!$44:$44,'2023-Elders'!$47:$47,'2023-Elders'!$48:$48</definedName>
    <definedName name="QB_DATA_1" localSheetId="3" hidden="1">'2023-Worksheet'!$30:$30,'2023-Worksheet'!$31:$31,'2023-Worksheet'!$32:$32,'2023-Worksheet'!#REF!,'2023-Worksheet'!$33:$33,'2023-Worksheet'!$34:$34,'2023-Worksheet'!$37:$37,'2023-Worksheet'!$38:$38,'2023-Worksheet'!$39:$39,'2023-Worksheet'!$40:$40,'2023-Worksheet'!$41:$41,'2023-Worksheet'!$42:$42,'2023-Worksheet'!$43:$43,'2023-Worksheet'!$44:$44,'2023-Worksheet'!$47:$47,'2023-Worksheet'!$48:$48</definedName>
    <definedName name="QB_DATA_2" localSheetId="1" hidden="1">'2023-Elders'!$49:$49,'2023-Elders'!$52:$52,'2023-Elders'!$53:$53,'2023-Elders'!#REF!,'2023-Elders'!$54:$54,'2023-Elders'!$55:$55,'2023-Elders'!$58:$58,'2023-Elders'!$59:$59,'2023-Elders'!$62:$62,'2023-Elders'!$63:$63,'2023-Elders'!$64:$64,'2023-Elders'!$69:$69,'2023-Elders'!#REF!,'2023-Elders'!#REF!,'2023-Elders'!#REF!,'2023-Elders'!#REF!</definedName>
    <definedName name="QB_DATA_2" localSheetId="3" hidden="1">'2023-Worksheet'!$49:$49,'2023-Worksheet'!$52:$52,'2023-Worksheet'!$53:$53,'2023-Worksheet'!#REF!,'2023-Worksheet'!$54:$54,'2023-Worksheet'!$55:$55,'2023-Worksheet'!$58:$58,'2023-Worksheet'!$59:$59,'2023-Worksheet'!$62:$62,'2023-Worksheet'!$63:$63,'2023-Worksheet'!$64:$64,'2023-Worksheet'!$69:$69,'2023-Worksheet'!#REF!,'2023-Worksheet'!#REF!,'2023-Worksheet'!#REF!,'2023-Worksheet'!#REF!</definedName>
    <definedName name="QB_DATA_3" localSheetId="1" hidden="1">'2023-Elders'!$76:$76,'2023-Elders'!#REF!,'2023-Elders'!$79:$79,'2023-Elders'!$82:$82,'2023-Elders'!$83:$83,'2023-Elders'!$84:$84,'2023-Elders'!#REF!,'2023-Elders'!$85:$85,'2023-Elders'!$86:$86,'2023-Elders'!$87:$87,'2023-Elders'!#REF!,'2023-Elders'!$90:$90,'2023-Elders'!$94:$94,'2023-Elders'!$95:$95,'2023-Elders'!$96:$96,'2023-Elders'!$97:$97</definedName>
    <definedName name="QB_DATA_3" localSheetId="3" hidden="1">'2023-Worksheet'!$76:$76,'2023-Worksheet'!#REF!,'2023-Worksheet'!$79:$79,'2023-Worksheet'!$82:$82,'2023-Worksheet'!$83:$83,'2023-Worksheet'!$84:$84,'2023-Worksheet'!#REF!,'2023-Worksheet'!$85:$85,'2023-Worksheet'!$86:$86,'2023-Worksheet'!$87:$87,'2023-Worksheet'!#REF!,'2023-Worksheet'!$90:$90,'2023-Worksheet'!$94:$94,'2023-Worksheet'!$95:$95,'2023-Worksheet'!$96:$96,'2023-Worksheet'!$97:$97</definedName>
    <definedName name="QB_DATA_4" localSheetId="1" hidden="1">'2023-Elders'!$98:$98,'2023-Elders'!$100:$100,'2023-Elders'!#REF!,'2023-Elders'!#REF!,'2023-Elders'!#REF!,'2023-Elders'!#REF!,'2023-Elders'!$103:$103,'2023-Elders'!$105:$105,'2023-Elders'!$106:$106,'2023-Elders'!#REF!,'2023-Elders'!#REF!,'2023-Elders'!$107:$107,'2023-Elders'!$108:$108,'2023-Elders'!$109:$109,'2023-Elders'!$111:$111,'2023-Elders'!#REF!</definedName>
    <definedName name="QB_DATA_4" localSheetId="3" hidden="1">'2023-Worksheet'!$98:$98,'2023-Worksheet'!$100:$100,'2023-Worksheet'!#REF!,'2023-Worksheet'!#REF!,'2023-Worksheet'!#REF!,'2023-Worksheet'!#REF!,'2023-Worksheet'!$103:$103,'2023-Worksheet'!$105:$105,'2023-Worksheet'!$106:$106,'2023-Worksheet'!#REF!,'2023-Worksheet'!#REF!,'2023-Worksheet'!$107:$107,'2023-Worksheet'!$108:$108,'2023-Worksheet'!$109:$109,'2023-Worksheet'!$111:$111,'2023-Worksheet'!#REF!</definedName>
    <definedName name="QB_DATA_5" localSheetId="1" hidden="1">'2023-Elders'!$115:$115,'2023-Elders'!$116:$116,'2023-Elders'!$117:$117,'2023-Elders'!$118:$118,'2023-Elders'!$119:$119,'2023-Elders'!$120:$120,'2023-Elders'!$121:$121,'2023-Elders'!$124:$124,'2023-Elders'!#REF!,'2023-Elders'!$125:$125,'2023-Elders'!#REF!</definedName>
    <definedName name="QB_DATA_5" localSheetId="3" hidden="1">'2023-Worksheet'!$115:$115,'2023-Worksheet'!$116:$116,'2023-Worksheet'!$117:$117,'2023-Worksheet'!$118:$118,'2023-Worksheet'!$119:$119,'2023-Worksheet'!$120:$120,'2023-Worksheet'!$121:$121,'2023-Worksheet'!$124:$124,'2023-Worksheet'!#REF!,'2023-Worksheet'!$125:$125,'2023-Worksheet'!#REF!</definedName>
    <definedName name="QB_FORMULA_0" localSheetId="1" hidden="1">'2023-Elders'!#REF!,'2023-Elders'!$K$14,'2023-Elders'!#REF!,'2023-Elders'!$K$15,'2023-Elders'!#REF!,'2023-Elders'!#REF!,'2023-Elders'!#REF!,'2023-Elders'!$K$35,'2023-Elders'!#REF!,'2023-Elders'!$K$45,'2023-Elders'!#REF!,'2023-Elders'!$K$50,'2023-Elders'!#REF!,'2023-Elders'!$K$60,'2023-Elders'!#REF!,'2023-Elders'!$K$65</definedName>
    <definedName name="QB_FORMULA_0" localSheetId="3" hidden="1">'2023-Worksheet'!#REF!,'2023-Worksheet'!$K$14,'2023-Worksheet'!#REF!,'2023-Worksheet'!$K$15,'2023-Worksheet'!#REF!,'2023-Worksheet'!#REF!,'2023-Worksheet'!#REF!,'2023-Worksheet'!$K$35,'2023-Worksheet'!#REF!,'2023-Worksheet'!$K$45,'2023-Worksheet'!#REF!,'2023-Worksheet'!$K$50,'2023-Worksheet'!#REF!,'2023-Worksheet'!$K$60,'2023-Worksheet'!#REF!,'2023-Worksheet'!$K$65</definedName>
    <definedName name="QB_FORMULA_1" localSheetId="1" hidden="1">'2023-Elders'!#REF!,'2023-Elders'!$K$66,'2023-Elders'!#REF!,'2023-Elders'!$K$70,'2023-Elders'!#REF!,'2023-Elders'!$K$80,'2023-Elders'!#REF!,'2023-Elders'!$K$88,'2023-Elders'!#REF!,'2023-Elders'!$K$101,'2023-Elders'!#REF!,'2023-Elders'!$K$113,'2023-Elders'!#REF!,'2023-Elders'!$K$122,'2023-Elders'!#REF!,'2023-Elders'!$K$127</definedName>
    <definedName name="QB_FORMULA_1" localSheetId="3" hidden="1">'2023-Worksheet'!#REF!,'2023-Worksheet'!$K$66,'2023-Worksheet'!#REF!,'2023-Worksheet'!$K$70,'2023-Worksheet'!#REF!,'2023-Worksheet'!$K$80,'2023-Worksheet'!#REF!,'2023-Worksheet'!$K$88,'2023-Worksheet'!#REF!,'2023-Worksheet'!$K$101,'2023-Worksheet'!#REF!,'2023-Worksheet'!$K$113,'2023-Worksheet'!#REF!,'2023-Worksheet'!$K$122,'2023-Worksheet'!#REF!,'2023-Worksheet'!$K$127</definedName>
    <definedName name="QB_FORMULA_2" localSheetId="1" hidden="1">'2023-Elders'!#REF!,'2023-Elders'!$K$128,'2023-Elders'!#REF!,'2023-Elders'!$K$130,'2023-Elders'!#REF!,'2023-Elders'!$K$131,'2023-Elders'!#REF!,'2023-Elders'!#REF!</definedName>
    <definedName name="QB_FORMULA_2" localSheetId="3" hidden="1">'2023-Worksheet'!#REF!,'2023-Worksheet'!$K$128,'2023-Worksheet'!#REF!,'2023-Worksheet'!$K$130,'2023-Worksheet'!#REF!,'2023-Worksheet'!$K$131,'2023-Worksheet'!#REF!,'2023-Worksheet'!#REF!</definedName>
    <definedName name="QB_ROW_106050" localSheetId="1" hidden="1">'2023-Elders'!$F$75</definedName>
    <definedName name="QB_ROW_106050" localSheetId="3" hidden="1">'2023-Worksheet'!$F$75</definedName>
    <definedName name="QB_ROW_106350" localSheetId="1" hidden="1">'2023-Elders'!$F$80</definedName>
    <definedName name="QB_ROW_106350" localSheetId="3" hidden="1">'2023-Worksheet'!$F$80</definedName>
    <definedName name="QB_ROW_107260" localSheetId="1" hidden="1">'2023-Elders'!$G$76</definedName>
    <definedName name="QB_ROW_107260" localSheetId="3" hidden="1">'2023-Worksheet'!$G$76</definedName>
    <definedName name="QB_ROW_108260" localSheetId="1" hidden="1">'2023-Elders'!#REF!</definedName>
    <definedName name="QB_ROW_108260" localSheetId="3" hidden="1">'2023-Worksheet'!#REF!</definedName>
    <definedName name="QB_ROW_109260" localSheetId="1" hidden="1">'2023-Elders'!$G$79</definedName>
    <definedName name="QB_ROW_109260" localSheetId="3" hidden="1">'2023-Worksheet'!$G$79</definedName>
    <definedName name="QB_ROW_110050" localSheetId="1" hidden="1">'2023-Elders'!$F$81</definedName>
    <definedName name="QB_ROW_110050" localSheetId="3" hidden="1">'2023-Worksheet'!$F$81</definedName>
    <definedName name="QB_ROW_110350" localSheetId="1" hidden="1">'2023-Elders'!$F$88</definedName>
    <definedName name="QB_ROW_110350" localSheetId="3" hidden="1">'2023-Worksheet'!$F$88</definedName>
    <definedName name="QB_ROW_111260" localSheetId="1" hidden="1">'2023-Elders'!$G$82</definedName>
    <definedName name="QB_ROW_111260" localSheetId="3" hidden="1">'2023-Worksheet'!$G$82</definedName>
    <definedName name="QB_ROW_112260" localSheetId="1" hidden="1">'2023-Elders'!$G$83</definedName>
    <definedName name="QB_ROW_112260" localSheetId="3" hidden="1">'2023-Worksheet'!$G$83</definedName>
    <definedName name="QB_ROW_113260" localSheetId="1" hidden="1">'2023-Elders'!$G$84</definedName>
    <definedName name="QB_ROW_113260" localSheetId="3" hidden="1">'2023-Worksheet'!$G$84</definedName>
    <definedName name="QB_ROW_116260" localSheetId="1" hidden="1">'2023-Elders'!#REF!</definedName>
    <definedName name="QB_ROW_116260" localSheetId="3" hidden="1">'2023-Worksheet'!#REF!</definedName>
    <definedName name="QB_ROW_117260" localSheetId="1" hidden="1">'2023-Elders'!$G$86</definedName>
    <definedName name="QB_ROW_117260" localSheetId="3" hidden="1">'2023-Worksheet'!$G$86</definedName>
    <definedName name="QB_ROW_118260" localSheetId="1" hidden="1">'2023-Elders'!#REF!</definedName>
    <definedName name="QB_ROW_118260" localSheetId="3" hidden="1">'2023-Worksheet'!#REF!</definedName>
    <definedName name="QB_ROW_120260" localSheetId="1" hidden="1">'2023-Elders'!$G$94</definedName>
    <definedName name="QB_ROW_120260" localSheetId="3" hidden="1">'2023-Worksheet'!$G$94</definedName>
    <definedName name="QB_ROW_121050" localSheetId="1" hidden="1">'2023-Elders'!$F$89</definedName>
    <definedName name="QB_ROW_121050" localSheetId="3" hidden="1">'2023-Worksheet'!$F$89</definedName>
    <definedName name="QB_ROW_121350" localSheetId="1" hidden="1">'2023-Elders'!$F$101</definedName>
    <definedName name="QB_ROW_121350" localSheetId="3" hidden="1">'2023-Worksheet'!$F$101</definedName>
    <definedName name="QB_ROW_123260" localSheetId="1" hidden="1">'2023-Elders'!$G$95</definedName>
    <definedName name="QB_ROW_123260" localSheetId="3" hidden="1">'2023-Worksheet'!$G$95</definedName>
    <definedName name="QB_ROW_124260" localSheetId="1" hidden="1">'2023-Elders'!$G$96</definedName>
    <definedName name="QB_ROW_124260" localSheetId="3" hidden="1">'2023-Worksheet'!$G$96</definedName>
    <definedName name="QB_ROW_126260" localSheetId="1" hidden="1">'2023-Elders'!$G$100</definedName>
    <definedName name="QB_ROW_126260" localSheetId="3" hidden="1">'2023-Worksheet'!$G$100</definedName>
    <definedName name="QB_ROW_127260" localSheetId="1" hidden="1">'2023-Elders'!#REF!</definedName>
    <definedName name="QB_ROW_127260" localSheetId="3" hidden="1">'2023-Worksheet'!#REF!</definedName>
    <definedName name="QB_ROW_128260" localSheetId="1" hidden="1">'2023-Elders'!#REF!</definedName>
    <definedName name="QB_ROW_128260" localSheetId="3" hidden="1">'2023-Worksheet'!#REF!</definedName>
    <definedName name="QB_ROW_129050" localSheetId="1" hidden="1">'2023-Elders'!$F$102</definedName>
    <definedName name="QB_ROW_129050" localSheetId="3" hidden="1">'2023-Worksheet'!$F$102</definedName>
    <definedName name="QB_ROW_129350" localSheetId="1" hidden="1">'2023-Elders'!$F$113</definedName>
    <definedName name="QB_ROW_129350" localSheetId="3" hidden="1">'2023-Worksheet'!$F$113</definedName>
    <definedName name="QB_ROW_130260" localSheetId="1" hidden="1">'2023-Elders'!$G$103</definedName>
    <definedName name="QB_ROW_130260" localSheetId="3" hidden="1">'2023-Worksheet'!$G$103</definedName>
    <definedName name="QB_ROW_131260" localSheetId="1" hidden="1">'2023-Elders'!$G$105</definedName>
    <definedName name="QB_ROW_131260" localSheetId="3" hidden="1">'2023-Worksheet'!$G$105</definedName>
    <definedName name="QB_ROW_132260" localSheetId="1" hidden="1">'2023-Elders'!$G$106</definedName>
    <definedName name="QB_ROW_132260" localSheetId="3" hidden="1">'2023-Worksheet'!$G$106</definedName>
    <definedName name="QB_ROW_133260" localSheetId="1" hidden="1">'2023-Elders'!#REF!</definedName>
    <definedName name="QB_ROW_133260" localSheetId="3" hidden="1">'2023-Worksheet'!#REF!</definedName>
    <definedName name="QB_ROW_134050" localSheetId="1" hidden="1">'2023-Elders'!$F$114</definedName>
    <definedName name="QB_ROW_134050" localSheetId="3" hidden="1">'2023-Worksheet'!$F$114</definedName>
    <definedName name="QB_ROW_134350" localSheetId="1" hidden="1">'2023-Elders'!$F$122</definedName>
    <definedName name="QB_ROW_134350" localSheetId="3" hidden="1">'2023-Worksheet'!$F$122</definedName>
    <definedName name="QB_ROW_135260" localSheetId="1" hidden="1">'2023-Elders'!$G$115</definedName>
    <definedName name="QB_ROW_135260" localSheetId="3" hidden="1">'2023-Worksheet'!$G$115</definedName>
    <definedName name="QB_ROW_136260" localSheetId="1" hidden="1">'2023-Elders'!$G$119</definedName>
    <definedName name="QB_ROW_136260" localSheetId="3" hidden="1">'2023-Worksheet'!$G$119</definedName>
    <definedName name="QB_ROW_137260" localSheetId="1" hidden="1">'2023-Elders'!$G$116</definedName>
    <definedName name="QB_ROW_137260" localSheetId="3" hidden="1">'2023-Worksheet'!$G$116</definedName>
    <definedName name="QB_ROW_138260" localSheetId="1" hidden="1">'2023-Elders'!$G$120</definedName>
    <definedName name="QB_ROW_138260" localSheetId="3" hidden="1">'2023-Worksheet'!$G$120</definedName>
    <definedName name="QB_ROW_139260" localSheetId="1" hidden="1">'2023-Elders'!$G$121</definedName>
    <definedName name="QB_ROW_139260" localSheetId="3" hidden="1">'2023-Worksheet'!$G$121</definedName>
    <definedName name="QB_ROW_140050" localSheetId="1" hidden="1">'2023-Elders'!$F$123</definedName>
    <definedName name="QB_ROW_140050" localSheetId="3" hidden="1">'2023-Worksheet'!$F$123</definedName>
    <definedName name="QB_ROW_140260" localSheetId="1" hidden="1">'2023-Elders'!#REF!</definedName>
    <definedName name="QB_ROW_140260" localSheetId="3" hidden="1">'2023-Worksheet'!#REF!</definedName>
    <definedName name="QB_ROW_140350" localSheetId="1" hidden="1">'2023-Elders'!$F$127</definedName>
    <definedName name="QB_ROW_140350" localSheetId="3" hidden="1">'2023-Worksheet'!$F$127</definedName>
    <definedName name="QB_ROW_141260" localSheetId="1" hidden="1">'2023-Elders'!$G$124</definedName>
    <definedName name="QB_ROW_141260" localSheetId="3" hidden="1">'2023-Worksheet'!$G$124</definedName>
    <definedName name="QB_ROW_142260" localSheetId="1" hidden="1">'2023-Elders'!#REF!</definedName>
    <definedName name="QB_ROW_142260" localSheetId="3" hidden="1">'2023-Worksheet'!#REF!</definedName>
    <definedName name="QB_ROW_18301" localSheetId="1" hidden="1">'2023-Elders'!#REF!</definedName>
    <definedName name="QB_ROW_18301" localSheetId="3" hidden="1">'2023-Worksheet'!#REF!</definedName>
    <definedName name="QB_ROW_19011" localSheetId="1" hidden="1">'2023-Elders'!$B$5</definedName>
    <definedName name="QB_ROW_19011" localSheetId="3" hidden="1">'2023-Worksheet'!$B$5</definedName>
    <definedName name="QB_ROW_192260" localSheetId="1" hidden="1">'2023-Elders'!$G$107</definedName>
    <definedName name="QB_ROW_192260" localSheetId="3" hidden="1">'2023-Worksheet'!$G$107</definedName>
    <definedName name="QB_ROW_19311" localSheetId="1" hidden="1">'2023-Elders'!$B$131</definedName>
    <definedName name="QB_ROW_19311" localSheetId="3" hidden="1">'2023-Worksheet'!$B$131</definedName>
    <definedName name="QB_ROW_194260" localSheetId="1" hidden="1">'2023-Elders'!$G$23</definedName>
    <definedName name="QB_ROW_194260" localSheetId="3" hidden="1">'2023-Worksheet'!$G$23</definedName>
    <definedName name="QB_ROW_195260" localSheetId="1" hidden="1">'2023-Elders'!$G$85</definedName>
    <definedName name="QB_ROW_195260" localSheetId="3" hidden="1">'2023-Worksheet'!$G$85</definedName>
    <definedName name="QB_ROW_196260" localSheetId="1" hidden="1">'2023-Elders'!#REF!</definedName>
    <definedName name="QB_ROW_196260" localSheetId="3" hidden="1">'2023-Worksheet'!#REF!</definedName>
    <definedName name="QB_ROW_197260" localSheetId="1" hidden="1">'2023-Elders'!$G$98</definedName>
    <definedName name="QB_ROW_197260" localSheetId="3" hidden="1">'2023-Worksheet'!$G$98</definedName>
    <definedName name="QB_ROW_198260" localSheetId="1" hidden="1">'2023-Elders'!$G$97</definedName>
    <definedName name="QB_ROW_198260" localSheetId="3" hidden="1">'2023-Worksheet'!$G$97</definedName>
    <definedName name="QB_ROW_200260" localSheetId="1" hidden="1">'2023-Elders'!$G$125</definedName>
    <definedName name="QB_ROW_200260" localSheetId="3" hidden="1">'2023-Worksheet'!$G$125</definedName>
    <definedName name="QB_ROW_20031" localSheetId="1" hidden="1">'2023-Elders'!$D$7</definedName>
    <definedName name="QB_ROW_20031" localSheetId="3" hidden="1">'2023-Worksheet'!$D$7</definedName>
    <definedName name="QB_ROW_201260" localSheetId="1" hidden="1">'2023-Elders'!$G$118</definedName>
    <definedName name="QB_ROW_201260" localSheetId="3" hidden="1">'2023-Worksheet'!$G$118</definedName>
    <definedName name="QB_ROW_202260" localSheetId="1" hidden="1">'2023-Elders'!$G$39</definedName>
    <definedName name="QB_ROW_202260" localSheetId="3" hidden="1">'2023-Worksheet'!$G$39</definedName>
    <definedName name="QB_ROW_203260" localSheetId="1" hidden="1">'2023-Elders'!#REF!</definedName>
    <definedName name="QB_ROW_203260" localSheetId="3" hidden="1">'2023-Worksheet'!#REF!</definedName>
    <definedName name="QB_ROW_20331" localSheetId="1" hidden="1">'2023-Elders'!$D$15</definedName>
    <definedName name="QB_ROW_20331" localSheetId="3" hidden="1">'2023-Worksheet'!$D$15</definedName>
    <definedName name="QB_ROW_204260" localSheetId="1" hidden="1">'2023-Elders'!#REF!</definedName>
    <definedName name="QB_ROW_204260" localSheetId="3" hidden="1">'2023-Worksheet'!#REF!</definedName>
    <definedName name="QB_ROW_21031" localSheetId="1" hidden="1">'2023-Elders'!$D$16</definedName>
    <definedName name="QB_ROW_21031" localSheetId="3" hidden="1">'2023-Worksheet'!$D$16</definedName>
    <definedName name="QB_ROW_21331" localSheetId="1" hidden="1">'2023-Elders'!$D$130</definedName>
    <definedName name="QB_ROW_21331" localSheetId="3" hidden="1">'2023-Worksheet'!$D$130</definedName>
    <definedName name="QB_ROW_225250" localSheetId="1" hidden="1">'2023-Elders'!$F$12</definedName>
    <definedName name="QB_ROW_225250" localSheetId="3" hidden="1">'2023-Worksheet'!$F$12</definedName>
    <definedName name="QB_ROW_238260" localSheetId="1" hidden="1">'2023-Elders'!#REF!</definedName>
    <definedName name="QB_ROW_238260" localSheetId="3" hidden="1">'2023-Worksheet'!#REF!</definedName>
    <definedName name="QB_ROW_239260" localSheetId="1" hidden="1">'2023-Elders'!$G$87</definedName>
    <definedName name="QB_ROW_239260" localSheetId="3" hidden="1">'2023-Worksheet'!$G$87</definedName>
    <definedName name="QB_ROW_240260" localSheetId="1" hidden="1">'2023-Elders'!#REF!</definedName>
    <definedName name="QB_ROW_240260" localSheetId="3" hidden="1">'2023-Worksheet'!#REF!</definedName>
    <definedName name="QB_ROW_241260" localSheetId="1" hidden="1">'2023-Elders'!#REF!</definedName>
    <definedName name="QB_ROW_241260" localSheetId="3" hidden="1">'2023-Worksheet'!#REF!</definedName>
    <definedName name="QB_ROW_242260" localSheetId="1" hidden="1">'2023-Elders'!$G$108</definedName>
    <definedName name="QB_ROW_242260" localSheetId="3" hidden="1">'2023-Worksheet'!$G$108</definedName>
    <definedName name="QB_ROW_243260" localSheetId="1" hidden="1">'2023-Elders'!$G$109</definedName>
    <definedName name="QB_ROW_243260" localSheetId="3" hidden="1">'2023-Worksheet'!$G$109</definedName>
    <definedName name="QB_ROW_244260" localSheetId="1" hidden="1">'2023-Elders'!$G$111</definedName>
    <definedName name="QB_ROW_244260" localSheetId="3" hidden="1">'2023-Worksheet'!$G$111</definedName>
    <definedName name="QB_ROW_245260" localSheetId="1" hidden="1">'2023-Elders'!#REF!</definedName>
    <definedName name="QB_ROW_245260" localSheetId="3" hidden="1">'2023-Worksheet'!#REF!</definedName>
    <definedName name="QB_ROW_246260" localSheetId="1" hidden="1">'2023-Elders'!$G$117</definedName>
    <definedName name="QB_ROW_246260" localSheetId="3" hidden="1">'2023-Worksheet'!$G$117</definedName>
    <definedName name="QB_ROW_254250" localSheetId="1" hidden="1">'2023-Elders'!#REF!</definedName>
    <definedName name="QB_ROW_254250" localSheetId="3" hidden="1">'2023-Worksheet'!#REF!</definedName>
    <definedName name="QB_ROW_269260" localSheetId="1" hidden="1">'2023-Elders'!#REF!</definedName>
    <definedName name="QB_ROW_269260" localSheetId="3" hidden="1">'2023-Worksheet'!#REF!</definedName>
    <definedName name="QB_ROW_270260" localSheetId="1" hidden="1">'2023-Elders'!$G$54</definedName>
    <definedName name="QB_ROW_270260" localSheetId="3" hidden="1">'2023-Worksheet'!$G$54</definedName>
    <definedName name="QB_ROW_271260" localSheetId="1" hidden="1">'2023-Elders'!$G$90</definedName>
    <definedName name="QB_ROW_271260" localSheetId="3" hidden="1">'2023-Worksheet'!$G$90</definedName>
    <definedName name="QB_ROW_272260" localSheetId="1" hidden="1">'2023-Elders'!#REF!</definedName>
    <definedName name="QB_ROW_272260" localSheetId="3" hidden="1">'2023-Worksheet'!#REF!</definedName>
    <definedName name="QB_ROW_50050" localSheetId="1" hidden="1">'2023-Elders'!$F$36</definedName>
    <definedName name="QB_ROW_50050" localSheetId="3" hidden="1">'2023-Worksheet'!$F$36</definedName>
    <definedName name="QB_ROW_50350" localSheetId="1" hidden="1">'2023-Elders'!$F$45</definedName>
    <definedName name="QB_ROW_50350" localSheetId="3" hidden="1">'2023-Worksheet'!$F$45</definedName>
    <definedName name="QB_ROW_53040" localSheetId="1" hidden="1">'2023-Elders'!$E$8</definedName>
    <definedName name="QB_ROW_53040" localSheetId="3" hidden="1">'2023-Worksheet'!$E$8</definedName>
    <definedName name="QB_ROW_53340" localSheetId="1" hidden="1">'2023-Elders'!$E$14</definedName>
    <definedName name="QB_ROW_53340" localSheetId="3" hidden="1">'2023-Worksheet'!$E$14</definedName>
    <definedName name="QB_ROW_54250" localSheetId="1" hidden="1">'2023-Elders'!$F$9</definedName>
    <definedName name="QB_ROW_54250" localSheetId="3" hidden="1">'2023-Worksheet'!$F$9</definedName>
    <definedName name="QB_ROW_55250" localSheetId="1" hidden="1">'2023-Elders'!$F$11</definedName>
    <definedName name="QB_ROW_55250" localSheetId="3" hidden="1">'2023-Worksheet'!$F$11</definedName>
    <definedName name="QB_ROW_56250" localSheetId="1" hidden="1">'2023-Elders'!$F$13</definedName>
    <definedName name="QB_ROW_56250" localSheetId="3" hidden="1">'2023-Worksheet'!$F$13</definedName>
    <definedName name="QB_ROW_57040" localSheetId="1" hidden="1">'2023-Elders'!$E$17</definedName>
    <definedName name="QB_ROW_57040" localSheetId="3" hidden="1">'2023-Worksheet'!$E$17</definedName>
    <definedName name="QB_ROW_57340" localSheetId="1" hidden="1">'2023-Elders'!$E$66</definedName>
    <definedName name="QB_ROW_57340" localSheetId="3" hidden="1">'2023-Worksheet'!$E$66</definedName>
    <definedName name="QB_ROW_58050" localSheetId="1" hidden="1">'2023-Elders'!$F$18</definedName>
    <definedName name="QB_ROW_58050" localSheetId="3" hidden="1">'2023-Worksheet'!$F$18</definedName>
    <definedName name="QB_ROW_58350" localSheetId="1" hidden="1">'2023-Elders'!$F$35</definedName>
    <definedName name="QB_ROW_58350" localSheetId="3" hidden="1">'2023-Worksheet'!$F$35</definedName>
    <definedName name="QB_ROW_59260" localSheetId="1" hidden="1">'2023-Elders'!$G$19</definedName>
    <definedName name="QB_ROW_59260" localSheetId="3" hidden="1">'2023-Worksheet'!$G$19</definedName>
    <definedName name="QB_ROW_60260" localSheetId="1" hidden="1">'2023-Elders'!$G$37</definedName>
    <definedName name="QB_ROW_60260" localSheetId="3" hidden="1">'2023-Worksheet'!$G$37</definedName>
    <definedName name="QB_ROW_61260" localSheetId="1" hidden="1">'2023-Elders'!$G$38</definedName>
    <definedName name="QB_ROW_61260" localSheetId="3" hidden="1">'2023-Worksheet'!$G$38</definedName>
    <definedName name="QB_ROW_62260" localSheetId="1" hidden="1">'2023-Elders'!$G$40</definedName>
    <definedName name="QB_ROW_62260" localSheetId="3" hidden="1">'2023-Worksheet'!$G$40</definedName>
    <definedName name="QB_ROW_63260" localSheetId="1" hidden="1">'2023-Elders'!$G$41</definedName>
    <definedName name="QB_ROW_63260" localSheetId="3" hidden="1">'2023-Worksheet'!$G$41</definedName>
    <definedName name="QB_ROW_64260" localSheetId="1" hidden="1">'2023-Elders'!$G$42</definedName>
    <definedName name="QB_ROW_64260" localSheetId="3" hidden="1">'2023-Worksheet'!$G$42</definedName>
    <definedName name="QB_ROW_65260" localSheetId="1" hidden="1">'2023-Elders'!$G$43</definedName>
    <definedName name="QB_ROW_65260" localSheetId="3" hidden="1">'2023-Worksheet'!$G$43</definedName>
    <definedName name="QB_ROW_66260" localSheetId="1" hidden="1">'2023-Elders'!$G$44</definedName>
    <definedName name="QB_ROW_66260" localSheetId="3" hidden="1">'2023-Worksheet'!$G$44</definedName>
    <definedName name="QB_ROW_67260" localSheetId="1" hidden="1">'2023-Elders'!$G$20</definedName>
    <definedName name="QB_ROW_67260" localSheetId="3" hidden="1">'2023-Worksheet'!$G$20</definedName>
    <definedName name="QB_ROW_68260" localSheetId="1" hidden="1">'2023-Elders'!$G$22</definedName>
    <definedName name="QB_ROW_68260" localSheetId="3" hidden="1">'2023-Worksheet'!$G$22</definedName>
    <definedName name="QB_ROW_69260" localSheetId="1" hidden="1">'2023-Elders'!$G$24</definedName>
    <definedName name="QB_ROW_69260" localSheetId="3" hidden="1">'2023-Worksheet'!$G$24</definedName>
    <definedName name="QB_ROW_70260" localSheetId="1" hidden="1">'2023-Elders'!$G$25</definedName>
    <definedName name="QB_ROW_70260" localSheetId="3" hidden="1">'2023-Worksheet'!$G$25</definedName>
    <definedName name="QB_ROW_71260" localSheetId="1" hidden="1">'2023-Elders'!$G$26</definedName>
    <definedName name="QB_ROW_71260" localSheetId="3" hidden="1">'2023-Worksheet'!$G$26</definedName>
    <definedName name="QB_ROW_72260" localSheetId="1" hidden="1">'2023-Elders'!$G$27</definedName>
    <definedName name="QB_ROW_72260" localSheetId="3" hidden="1">'2023-Worksheet'!$G$27</definedName>
    <definedName name="QB_ROW_73260" localSheetId="1" hidden="1">'2023-Elders'!$G$28</definedName>
    <definedName name="QB_ROW_73260" localSheetId="3" hidden="1">'2023-Worksheet'!$G$28</definedName>
    <definedName name="QB_ROW_74260" localSheetId="1" hidden="1">'2023-Elders'!$G$29</definedName>
    <definedName name="QB_ROW_74260" localSheetId="3" hidden="1">'2023-Worksheet'!$G$29</definedName>
    <definedName name="QB_ROW_75260" localSheetId="1" hidden="1">'2023-Elders'!$G$30</definedName>
    <definedName name="QB_ROW_75260" localSheetId="3" hidden="1">'2023-Worksheet'!$G$30</definedName>
    <definedName name="QB_ROW_76260" localSheetId="1" hidden="1">'2023-Elders'!$G$31</definedName>
    <definedName name="QB_ROW_76260" localSheetId="3" hidden="1">'2023-Worksheet'!$G$31</definedName>
    <definedName name="QB_ROW_77260" localSheetId="1" hidden="1">'2023-Elders'!$G$32</definedName>
    <definedName name="QB_ROW_77260" localSheetId="3" hidden="1">'2023-Worksheet'!$G$32</definedName>
    <definedName name="QB_ROW_78260" localSheetId="1" hidden="1">'2023-Elders'!$G$33</definedName>
    <definedName name="QB_ROW_78260" localSheetId="3" hidden="1">'2023-Worksheet'!$G$33</definedName>
    <definedName name="QB_ROW_79260" localSheetId="1" hidden="1">'2023-Elders'!$G$34</definedName>
    <definedName name="QB_ROW_79260" localSheetId="3" hidden="1">'2023-Worksheet'!$G$34</definedName>
    <definedName name="QB_ROW_80050" localSheetId="1" hidden="1">'2023-Elders'!$F$51</definedName>
    <definedName name="QB_ROW_80050" localSheetId="3" hidden="1">'2023-Worksheet'!$F$51</definedName>
    <definedName name="QB_ROW_80350" localSheetId="1" hidden="1">'2023-Elders'!$F$60</definedName>
    <definedName name="QB_ROW_80350" localSheetId="3" hidden="1">'2023-Worksheet'!$F$60</definedName>
    <definedName name="QB_ROW_81260" localSheetId="1" hidden="1">'2023-Elders'!$G$21</definedName>
    <definedName name="QB_ROW_81260" localSheetId="3" hidden="1">'2023-Worksheet'!$G$21</definedName>
    <definedName name="QB_ROW_82260" localSheetId="1" hidden="1">'2023-Elders'!$G$52</definedName>
    <definedName name="QB_ROW_82260" localSheetId="3" hidden="1">'2023-Worksheet'!$G$52</definedName>
    <definedName name="QB_ROW_84260" localSheetId="1" hidden="1">'2023-Elders'!$G$53</definedName>
    <definedName name="QB_ROW_84260" localSheetId="3" hidden="1">'2023-Worksheet'!$G$53</definedName>
    <definedName name="QB_ROW_85050" localSheetId="1" hidden="1">'2023-Elders'!$F$46</definedName>
    <definedName name="QB_ROW_85050" localSheetId="3" hidden="1">'2023-Worksheet'!$F$46</definedName>
    <definedName name="QB_ROW_85350" localSheetId="1" hidden="1">'2023-Elders'!$F$50</definedName>
    <definedName name="QB_ROW_85350" localSheetId="3" hidden="1">'2023-Worksheet'!$F$50</definedName>
    <definedName name="QB_ROW_86260" localSheetId="1" hidden="1">'2023-Elders'!$G$47</definedName>
    <definedName name="QB_ROW_86260" localSheetId="3" hidden="1">'2023-Worksheet'!$G$47</definedName>
    <definedName name="QB_ROW_86321" localSheetId="1" hidden="1">'2023-Elders'!#REF!</definedName>
    <definedName name="QB_ROW_86321" localSheetId="3" hidden="1">'2023-Worksheet'!#REF!</definedName>
    <definedName name="QB_ROW_87260" localSheetId="1" hidden="1">'2023-Elders'!$G$48</definedName>
    <definedName name="QB_ROW_87260" localSheetId="3" hidden="1">'2023-Worksheet'!$G$48</definedName>
    <definedName name="QB_ROW_88260" localSheetId="1" hidden="1">'2023-Elders'!$G$49</definedName>
    <definedName name="QB_ROW_88260" localSheetId="3" hidden="1">'2023-Worksheet'!$G$49</definedName>
    <definedName name="QB_ROW_89260" localSheetId="1" hidden="1">'2023-Elders'!$G$55</definedName>
    <definedName name="QB_ROW_89260" localSheetId="3" hidden="1">'2023-Worksheet'!$G$55</definedName>
    <definedName name="QB_ROW_90260" localSheetId="1" hidden="1">'2023-Elders'!$G$56</definedName>
    <definedName name="QB_ROW_90260" localSheetId="3" hidden="1">'2023-Worksheet'!$G$56</definedName>
    <definedName name="QB_ROW_91260" localSheetId="1" hidden="1">'2023-Elders'!$G$58</definedName>
    <definedName name="QB_ROW_91260" localSheetId="3" hidden="1">'2023-Worksheet'!$G$58</definedName>
    <definedName name="QB_ROW_92050" localSheetId="1" hidden="1">'2023-Elders'!$F$61</definedName>
    <definedName name="QB_ROW_92050" localSheetId="3" hidden="1">'2023-Worksheet'!$F$61</definedName>
    <definedName name="QB_ROW_92350" localSheetId="1" hidden="1">'2023-Elders'!$F$65</definedName>
    <definedName name="QB_ROW_92350" localSheetId="3" hidden="1">'2023-Worksheet'!$F$65</definedName>
    <definedName name="QB_ROW_93260" localSheetId="1" hidden="1">'2023-Elders'!$G$62</definedName>
    <definedName name="QB_ROW_93260" localSheetId="3" hidden="1">'2023-Worksheet'!$G$62</definedName>
    <definedName name="QB_ROW_94260" localSheetId="1" hidden="1">'2023-Elders'!$G$63</definedName>
    <definedName name="QB_ROW_94260" localSheetId="3" hidden="1">'2023-Worksheet'!$G$63</definedName>
    <definedName name="QB_ROW_95260" localSheetId="1" hidden="1">'2023-Elders'!$G$64</definedName>
    <definedName name="QB_ROW_95260" localSheetId="3" hidden="1">'2023-Worksheet'!$G$64</definedName>
    <definedName name="QB_ROW_96050" localSheetId="1" hidden="1">'2023-Elders'!$F$68</definedName>
    <definedName name="QB_ROW_96050" localSheetId="3" hidden="1">'2023-Worksheet'!$F$68</definedName>
    <definedName name="QB_ROW_96350" localSheetId="1" hidden="1">'2023-Elders'!$F$70</definedName>
    <definedName name="QB_ROW_96350" localSheetId="3" hidden="1">'2023-Worksheet'!$F$70</definedName>
    <definedName name="QB_ROW_97040" localSheetId="1" hidden="1">'2023-Elders'!$E$67</definedName>
    <definedName name="QB_ROW_97040" localSheetId="3" hidden="1">'2023-Worksheet'!$E$67</definedName>
    <definedName name="QB_ROW_97340" localSheetId="1" hidden="1">'2023-Elders'!$E$128</definedName>
    <definedName name="QB_ROW_97340" localSheetId="3" hidden="1">'2023-Worksheet'!$E$128</definedName>
    <definedName name="QB_ROW_98260" localSheetId="1" hidden="1">'2023-Elders'!#REF!</definedName>
    <definedName name="QB_ROW_98260" localSheetId="3" hidden="1">'2023-Worksheet'!#REF!</definedName>
    <definedName name="QB_ROW_99260" localSheetId="1" hidden="1">'2023-Elders'!$G$69</definedName>
    <definedName name="QB_ROW_99260" localSheetId="3" hidden="1">'2023-Worksheet'!$G$69</definedName>
    <definedName name="QBCANSUPPORTUPDATE" localSheetId="1">TRUE</definedName>
    <definedName name="QBCANSUPPORTUPDATE" localSheetId="3">TRUE</definedName>
    <definedName name="QBCOMPANYFILENAME" localSheetId="1">"C:\MX-Quickbooks\Quickbooks-AppData\McKnight Crossings Church of Christ.QBW"</definedName>
    <definedName name="QBCOMPANYFILENAME" localSheetId="3">"C:\MX-Quickbooks\Quickbooks-AppData\McKnight Crossings Church of Christ.QBW"</definedName>
    <definedName name="QBENDDATE" localSheetId="1">20140831</definedName>
    <definedName name="QBENDDATE" localSheetId="3">20140831</definedName>
    <definedName name="QBHEADERSONSCREEN" localSheetId="1">FALSE</definedName>
    <definedName name="QBHEADERSONSCREEN" localSheetId="3">FALSE</definedName>
    <definedName name="QBMETADATASIZE" localSheetId="1">5802</definedName>
    <definedName name="QBMETADATASIZE" localSheetId="3">5802</definedName>
    <definedName name="QBPRESERVECOLOR" localSheetId="1">TRUE</definedName>
    <definedName name="QBPRESERVECOLOR" localSheetId="3">TRUE</definedName>
    <definedName name="QBPRESERVEFONT" localSheetId="1">TRUE</definedName>
    <definedName name="QBPRESERVEFONT" localSheetId="3">TRUE</definedName>
    <definedName name="QBPRESERVEROWHEIGHT" localSheetId="1">TRUE</definedName>
    <definedName name="QBPRESERVEROWHEIGHT" localSheetId="3">TRUE</definedName>
    <definedName name="QBPRESERVESPACE" localSheetId="1">TRUE</definedName>
    <definedName name="QBPRESERVESPACE" localSheetId="3">TRUE</definedName>
    <definedName name="QBREPORTCOLAXIS" localSheetId="1">8</definedName>
    <definedName name="QBREPORTCOLAXIS" localSheetId="3">8</definedName>
    <definedName name="QBREPORTCOMPANYID" localSheetId="1">"85eb2884388f4a1d8cb438ee93ab1d30"</definedName>
    <definedName name="QBREPORTCOMPANYID" localSheetId="3">"85eb2884388f4a1d8cb438ee93ab1d30"</definedName>
    <definedName name="QBREPORTCOMPARECOL_ANNUALBUDGET" localSheetId="1">FALSE</definedName>
    <definedName name="QBREPORTCOMPARECOL_ANNUALBUDGET" localSheetId="3">FALSE</definedName>
    <definedName name="QBREPORTCOMPARECOL_AVGCOGS" localSheetId="1">FALSE</definedName>
    <definedName name="QBREPORTCOMPARECOL_AVGCOGS" localSheetId="3">FALSE</definedName>
    <definedName name="QBREPORTCOMPARECOL_AVGPRICE" localSheetId="1">FALSE</definedName>
    <definedName name="QBREPORTCOMPARECOL_AVGPRICE" localSheetId="3">FALSE</definedName>
    <definedName name="QBREPORTCOMPARECOL_BUDDIFF" localSheetId="1">FALSE</definedName>
    <definedName name="QBREPORTCOMPARECOL_BUDDIFF" localSheetId="3">FALSE</definedName>
    <definedName name="QBREPORTCOMPARECOL_BUDGET" localSheetId="1">TRUE</definedName>
    <definedName name="QBREPORTCOMPARECOL_BUDGET" localSheetId="3">TRUE</definedName>
    <definedName name="QBREPORTCOMPARECOL_BUDPCT" localSheetId="1">FALSE</definedName>
    <definedName name="QBREPORTCOMPARECOL_BUDPCT" localSheetId="3">FALSE</definedName>
    <definedName name="QBREPORTCOMPARECOL_COGS" localSheetId="1">FALSE</definedName>
    <definedName name="QBREPORTCOMPARECOL_COGS" localSheetId="3">FALSE</definedName>
    <definedName name="QBREPORTCOMPARECOL_EXCLUDEAMOUNT" localSheetId="1">FALSE</definedName>
    <definedName name="QBREPORTCOMPARECOL_EXCLUDEAMOUNT" localSheetId="3">FALSE</definedName>
    <definedName name="QBREPORTCOMPARECOL_EXCLUDECURPERIOD" localSheetId="1">FALSE</definedName>
    <definedName name="QBREPORTCOMPARECOL_EXCLUDECURPERIOD" localSheetId="3">FALSE</definedName>
    <definedName name="QBREPORTCOMPARECOL_FORECAST" localSheetId="1">FALSE</definedName>
    <definedName name="QBREPORTCOMPARECOL_FORECAST" localSheetId="3">FALSE</definedName>
    <definedName name="QBREPORTCOMPARECOL_GROSSMARGIN" localSheetId="1">FALSE</definedName>
    <definedName name="QBREPORTCOMPARECOL_GROSSMARGIN" localSheetId="3">FALSE</definedName>
    <definedName name="QBREPORTCOMPARECOL_GROSSMARGINPCT" localSheetId="1">FALSE</definedName>
    <definedName name="QBREPORTCOMPARECOL_GROSSMARGINPCT" localSheetId="3">FALSE</definedName>
    <definedName name="QBREPORTCOMPARECOL_HOURS" localSheetId="1">FALSE</definedName>
    <definedName name="QBREPORTCOMPARECOL_HOURS" localSheetId="3">FALSE</definedName>
    <definedName name="QBREPORTCOMPARECOL_PCTCOL" localSheetId="1">FALSE</definedName>
    <definedName name="QBREPORTCOMPARECOL_PCTCOL" localSheetId="3">FALSE</definedName>
    <definedName name="QBREPORTCOMPARECOL_PCTEXPENSE" localSheetId="1">FALSE</definedName>
    <definedName name="QBREPORTCOMPARECOL_PCTEXPENSE" localSheetId="3">FALSE</definedName>
    <definedName name="QBREPORTCOMPARECOL_PCTINCOME" localSheetId="1">FALSE</definedName>
    <definedName name="QBREPORTCOMPARECOL_PCTINCOME" localSheetId="3">FALSE</definedName>
    <definedName name="QBREPORTCOMPARECOL_PCTOFSALES" localSheetId="1">FALSE</definedName>
    <definedName name="QBREPORTCOMPARECOL_PCTOFSALES" localSheetId="3">FALSE</definedName>
    <definedName name="QBREPORTCOMPARECOL_PCTROW" localSheetId="1">FALSE</definedName>
    <definedName name="QBREPORTCOMPARECOL_PCTROW" localSheetId="3">FALSE</definedName>
    <definedName name="QBREPORTCOMPARECOL_PPDIFF" localSheetId="1">FALSE</definedName>
    <definedName name="QBREPORTCOMPARECOL_PPDIFF" localSheetId="3">FALSE</definedName>
    <definedName name="QBREPORTCOMPARECOL_PPPCT" localSheetId="1">FALSE</definedName>
    <definedName name="QBREPORTCOMPARECOL_PPPCT" localSheetId="3">FALSE</definedName>
    <definedName name="QBREPORTCOMPARECOL_PREVPERIOD" localSheetId="1">FALSE</definedName>
    <definedName name="QBREPORTCOMPARECOL_PREVPERIOD" localSheetId="3">FALSE</definedName>
    <definedName name="QBREPORTCOMPARECOL_PREVYEAR" localSheetId="1">FALSE</definedName>
    <definedName name="QBREPORTCOMPARECOL_PREVYEAR" localSheetId="3">FALSE</definedName>
    <definedName name="QBREPORTCOMPARECOL_PYDIFF" localSheetId="1">FALSE</definedName>
    <definedName name="QBREPORTCOMPARECOL_PYDIFF" localSheetId="3">FALSE</definedName>
    <definedName name="QBREPORTCOMPARECOL_PYPCT" localSheetId="1">FALSE</definedName>
    <definedName name="QBREPORTCOMPARECOL_PYPCT" localSheetId="3">FALSE</definedName>
    <definedName name="QBREPORTCOMPARECOL_QTY" localSheetId="1">FALSE</definedName>
    <definedName name="QBREPORTCOMPARECOL_QTY" localSheetId="3">FALSE</definedName>
    <definedName name="QBREPORTCOMPARECOL_RATE" localSheetId="1">FALSE</definedName>
    <definedName name="QBREPORTCOMPARECOL_RATE" localSheetId="3">FALSE</definedName>
    <definedName name="QBREPORTCOMPARECOL_TRIPBILLEDMILES" localSheetId="1">FALSE</definedName>
    <definedName name="QBREPORTCOMPARECOL_TRIPBILLEDMILES" localSheetId="3">FALSE</definedName>
    <definedName name="QBREPORTCOMPARECOL_TRIPBILLINGAMOUNT" localSheetId="1">FALSE</definedName>
    <definedName name="QBREPORTCOMPARECOL_TRIPBILLINGAMOUNT" localSheetId="3">FALSE</definedName>
    <definedName name="QBREPORTCOMPARECOL_TRIPMILES" localSheetId="1">FALSE</definedName>
    <definedName name="QBREPORTCOMPARECOL_TRIPMILES" localSheetId="3">FALSE</definedName>
    <definedName name="QBREPORTCOMPARECOL_TRIPNOTBILLABLEMILES" localSheetId="1">FALSE</definedName>
    <definedName name="QBREPORTCOMPARECOL_TRIPNOTBILLABLEMILES" localSheetId="3">FALSE</definedName>
    <definedName name="QBREPORTCOMPARECOL_TRIPTAXDEDUCTIBLEAMOUNT" localSheetId="1">FALSE</definedName>
    <definedName name="QBREPORTCOMPARECOL_TRIPTAXDEDUCTIBLEAMOUNT" localSheetId="3">FALSE</definedName>
    <definedName name="QBREPORTCOMPARECOL_TRIPUNBILLEDMILES" localSheetId="1">FALSE</definedName>
    <definedName name="QBREPORTCOMPARECOL_TRIPUNBILLEDMILES" localSheetId="3">FALSE</definedName>
    <definedName name="QBREPORTCOMPARECOL_YTD" localSheetId="1">FALSE</definedName>
    <definedName name="QBREPORTCOMPARECOL_YTD" localSheetId="3">FALSE</definedName>
    <definedName name="QBREPORTCOMPARECOL_YTDBUDGET" localSheetId="1">FALSE</definedName>
    <definedName name="QBREPORTCOMPARECOL_YTDBUDGET" localSheetId="3">FALSE</definedName>
    <definedName name="QBREPORTCOMPARECOL_YTDPCT" localSheetId="1">FALSE</definedName>
    <definedName name="QBREPORTCOMPARECOL_YTDPCT" localSheetId="3">FALSE</definedName>
    <definedName name="QBREPORTROWAXIS" localSheetId="1">11</definedName>
    <definedName name="QBREPORTROWAXIS" localSheetId="3">11</definedName>
    <definedName name="QBREPORTSUBCOLAXIS" localSheetId="1">24</definedName>
    <definedName name="QBREPORTSUBCOLAXIS" localSheetId="3">24</definedName>
    <definedName name="QBREPORTTYPE" localSheetId="1">288</definedName>
    <definedName name="QBREPORTTYPE" localSheetId="3">288</definedName>
    <definedName name="QBROWHEADERS" localSheetId="1">7</definedName>
    <definedName name="QBROWHEADERS" localSheetId="3">7</definedName>
    <definedName name="QBSTARTDATE" localSheetId="1">20140101</definedName>
    <definedName name="QBSTARTDATE" localSheetId="3">20140101</definedName>
  </definedNames>
  <calcPr calcId="191029"/>
</workbook>
</file>

<file path=xl/calcChain.xml><?xml version="1.0" encoding="utf-8"?>
<calcChain xmlns="http://schemas.openxmlformats.org/spreadsheetml/2006/main">
  <c r="E7" i="6" l="1"/>
  <c r="G7" i="6"/>
  <c r="I7" i="6" s="1"/>
  <c r="Q7" i="6" s="1"/>
  <c r="G8" i="6"/>
  <c r="I8" i="6"/>
  <c r="K8" i="6"/>
  <c r="Q8" i="6"/>
  <c r="E9" i="6"/>
  <c r="G9" i="6"/>
  <c r="I9" i="6" s="1"/>
  <c r="L9" i="6"/>
  <c r="L35" i="6" s="1"/>
  <c r="N9" i="6"/>
  <c r="N35" i="6" s="1"/>
  <c r="E10" i="6"/>
  <c r="G10" i="6"/>
  <c r="I10" i="6" s="1"/>
  <c r="H10" i="6"/>
  <c r="H35" i="6" s="1"/>
  <c r="E11" i="6"/>
  <c r="G11" i="6"/>
  <c r="I11" i="6"/>
  <c r="K11" i="6"/>
  <c r="Q11" i="6"/>
  <c r="Q12" i="6"/>
  <c r="E15" i="6"/>
  <c r="G15" i="6"/>
  <c r="J15" i="6" s="1"/>
  <c r="Q15" i="6" s="1"/>
  <c r="R16" i="6" s="1"/>
  <c r="A18" i="6"/>
  <c r="D18" i="6"/>
  <c r="E19" i="6"/>
  <c r="G19" i="6"/>
  <c r="I19" i="6" s="1"/>
  <c r="K19" i="6"/>
  <c r="A23" i="6"/>
  <c r="D23" i="6"/>
  <c r="E23" i="6" s="1"/>
  <c r="G23" i="6" s="1"/>
  <c r="A26" i="6"/>
  <c r="D26" i="6"/>
  <c r="G26" i="6" s="1"/>
  <c r="E26" i="6"/>
  <c r="D27" i="6"/>
  <c r="D35" i="6" s="1"/>
  <c r="G27" i="6"/>
  <c r="J27" i="6" s="1"/>
  <c r="D28" i="6"/>
  <c r="G28" i="6" s="1"/>
  <c r="E28" i="6"/>
  <c r="G29" i="6"/>
  <c r="J29" i="6"/>
  <c r="Q29" i="6"/>
  <c r="G32" i="6"/>
  <c r="J32" i="6" s="1"/>
  <c r="R33" i="6"/>
  <c r="R34" i="6"/>
  <c r="F35" i="6"/>
  <c r="M35" i="6"/>
  <c r="O35" i="6"/>
  <c r="P35" i="6"/>
  <c r="C7" i="5"/>
  <c r="D7" i="5"/>
  <c r="E7" i="5"/>
  <c r="D9" i="5"/>
  <c r="C10" i="5"/>
  <c r="D10" i="5"/>
  <c r="E10" i="5"/>
  <c r="C11" i="5"/>
  <c r="D11" i="5"/>
  <c r="E11" i="5"/>
  <c r="C26" i="5"/>
  <c r="D26" i="5"/>
  <c r="E26" i="5"/>
  <c r="C28" i="5"/>
  <c r="D28" i="5"/>
  <c r="E28" i="5"/>
  <c r="C29" i="5"/>
  <c r="D29" i="5"/>
  <c r="E29" i="5"/>
  <c r="E35" i="5" s="1"/>
  <c r="C30" i="5"/>
  <c r="D30" i="5"/>
  <c r="E30" i="5"/>
  <c r="C31" i="5"/>
  <c r="D31" i="5"/>
  <c r="E31" i="5"/>
  <c r="C32" i="5"/>
  <c r="D32" i="5"/>
  <c r="E32" i="5"/>
  <c r="C33" i="5"/>
  <c r="D33" i="5"/>
  <c r="E33" i="5"/>
  <c r="E13" i="5" l="1"/>
  <c r="E15" i="5" s="1"/>
  <c r="D13" i="5"/>
  <c r="D15" i="5" s="1"/>
  <c r="C13" i="5"/>
  <c r="D35" i="5"/>
  <c r="D37" i="5" s="1"/>
  <c r="J26" i="6"/>
  <c r="Q26" i="6"/>
  <c r="J28" i="6"/>
  <c r="Q28" i="6"/>
  <c r="E18" i="6"/>
  <c r="G18" i="6" s="1"/>
  <c r="C35" i="5"/>
  <c r="C37" i="5" s="1"/>
  <c r="E37" i="5"/>
  <c r="R32" i="6"/>
  <c r="Q10" i="6"/>
  <c r="C15" i="5"/>
  <c r="J23" i="6"/>
  <c r="Q23" i="6"/>
  <c r="R24" i="6" s="1"/>
  <c r="E35" i="6"/>
  <c r="I35" i="6"/>
  <c r="K9" i="6"/>
  <c r="Q9" i="6" s="1"/>
  <c r="R13" i="6" s="1"/>
  <c r="J19" i="6"/>
  <c r="Q27" i="6"/>
  <c r="R30" i="6" s="1"/>
  <c r="I9" i="4"/>
  <c r="I14" i="4" s="1"/>
  <c r="I15" i="4" s="1"/>
  <c r="J9" i="4"/>
  <c r="J10" i="4"/>
  <c r="M10" i="4" s="1"/>
  <c r="N10" i="4"/>
  <c r="J11" i="4"/>
  <c r="M11" i="4"/>
  <c r="N11" i="4"/>
  <c r="J12" i="4"/>
  <c r="L12" i="4"/>
  <c r="M12" i="4" s="1"/>
  <c r="N12" i="4"/>
  <c r="J13" i="4"/>
  <c r="L13" i="4"/>
  <c r="M13" i="4" s="1"/>
  <c r="H14" i="4"/>
  <c r="H15" i="4" s="1"/>
  <c r="K14" i="4"/>
  <c r="K15" i="4"/>
  <c r="J19" i="4"/>
  <c r="L19" i="4"/>
  <c r="N19" i="4" s="1"/>
  <c r="M19" i="4"/>
  <c r="J20" i="4"/>
  <c r="L20" i="4"/>
  <c r="N20" i="4" s="1"/>
  <c r="J21" i="4"/>
  <c r="M21" i="4"/>
  <c r="N21" i="4"/>
  <c r="J22" i="4"/>
  <c r="L22" i="4"/>
  <c r="M22" i="4" s="1"/>
  <c r="J23" i="4"/>
  <c r="M23" i="4"/>
  <c r="N23" i="4"/>
  <c r="J24" i="4"/>
  <c r="L24" i="4"/>
  <c r="N24" i="4" s="1"/>
  <c r="M24" i="4"/>
  <c r="J25" i="4"/>
  <c r="M25" i="4" s="1"/>
  <c r="N25" i="4"/>
  <c r="J26" i="4"/>
  <c r="M26" i="4" s="1"/>
  <c r="N26" i="4"/>
  <c r="J27" i="4"/>
  <c r="M27" i="4" s="1"/>
  <c r="N27" i="4"/>
  <c r="J28" i="4"/>
  <c r="M28" i="4"/>
  <c r="N28" i="4"/>
  <c r="J29" i="4"/>
  <c r="L29" i="4"/>
  <c r="N29" i="4" s="1"/>
  <c r="M29" i="4"/>
  <c r="J30" i="4"/>
  <c r="M30" i="4" s="1"/>
  <c r="N30" i="4"/>
  <c r="J31" i="4"/>
  <c r="M31" i="4" s="1"/>
  <c r="N31" i="4"/>
  <c r="J32" i="4"/>
  <c r="M32" i="4" s="1"/>
  <c r="N32" i="4"/>
  <c r="J33" i="4"/>
  <c r="M33" i="4" s="1"/>
  <c r="N33" i="4"/>
  <c r="J34" i="4"/>
  <c r="M34" i="4" s="1"/>
  <c r="N34" i="4"/>
  <c r="H35" i="4"/>
  <c r="I35" i="4"/>
  <c r="K35" i="4"/>
  <c r="I37" i="4"/>
  <c r="I45" i="4" s="1"/>
  <c r="J37" i="4"/>
  <c r="J38" i="4"/>
  <c r="L38" i="4"/>
  <c r="J39" i="4"/>
  <c r="M39" i="4" s="1"/>
  <c r="N39" i="4"/>
  <c r="J40" i="4"/>
  <c r="L40" i="4"/>
  <c r="M40" i="4" s="1"/>
  <c r="J41" i="4"/>
  <c r="M41" i="4" s="1"/>
  <c r="N41" i="4"/>
  <c r="J42" i="4"/>
  <c r="L42" i="4"/>
  <c r="J43" i="4"/>
  <c r="M43" i="4" s="1"/>
  <c r="N43" i="4"/>
  <c r="J44" i="4"/>
  <c r="M44" i="4" s="1"/>
  <c r="N44" i="4"/>
  <c r="H45" i="4"/>
  <c r="K45" i="4"/>
  <c r="J47" i="4"/>
  <c r="M47" i="4" s="1"/>
  <c r="N47" i="4"/>
  <c r="J48" i="4"/>
  <c r="M48" i="4" s="1"/>
  <c r="N48" i="4"/>
  <c r="J49" i="4"/>
  <c r="M49" i="4" s="1"/>
  <c r="N49" i="4"/>
  <c r="H50" i="4"/>
  <c r="I50" i="4"/>
  <c r="K50" i="4"/>
  <c r="K66" i="4" s="1"/>
  <c r="L50" i="4"/>
  <c r="J52" i="4"/>
  <c r="M52" i="4"/>
  <c r="N52" i="4"/>
  <c r="J53" i="4"/>
  <c r="M53" i="4"/>
  <c r="N53" i="4"/>
  <c r="J54" i="4"/>
  <c r="L54" i="4"/>
  <c r="N54" i="4" s="1"/>
  <c r="J55" i="4"/>
  <c r="M55" i="4" s="1"/>
  <c r="N55" i="4"/>
  <c r="J56" i="4"/>
  <c r="M56" i="4" s="1"/>
  <c r="N56" i="4"/>
  <c r="M57" i="4"/>
  <c r="N57" i="4"/>
  <c r="J58" i="4"/>
  <c r="M58" i="4" s="1"/>
  <c r="N58" i="4"/>
  <c r="J59" i="4"/>
  <c r="M59" i="4" s="1"/>
  <c r="N59" i="4"/>
  <c r="H60" i="4"/>
  <c r="I60" i="4"/>
  <c r="K60" i="4"/>
  <c r="J62" i="4"/>
  <c r="M62" i="4"/>
  <c r="N62" i="4"/>
  <c r="J64" i="4"/>
  <c r="M64" i="4" s="1"/>
  <c r="N64" i="4"/>
  <c r="H65" i="4"/>
  <c r="I65" i="4"/>
  <c r="K65" i="4"/>
  <c r="L65" i="4"/>
  <c r="J69" i="4"/>
  <c r="J70" i="4" s="1"/>
  <c r="M69" i="4"/>
  <c r="M70" i="4" s="1"/>
  <c r="N69" i="4"/>
  <c r="N70" i="4" s="1"/>
  <c r="H70" i="4"/>
  <c r="I70" i="4"/>
  <c r="K70" i="4"/>
  <c r="L70" i="4"/>
  <c r="J72" i="4"/>
  <c r="J74" i="4" s="1"/>
  <c r="L72" i="4"/>
  <c r="L74" i="4" s="1"/>
  <c r="M72" i="4"/>
  <c r="M74" i="4" s="1"/>
  <c r="H74" i="4"/>
  <c r="I74" i="4"/>
  <c r="K74" i="4"/>
  <c r="J76" i="4"/>
  <c r="M76" i="4"/>
  <c r="N76" i="4"/>
  <c r="J77" i="4"/>
  <c r="L77" i="4"/>
  <c r="L80" i="4" s="1"/>
  <c r="M78" i="4"/>
  <c r="N78" i="4"/>
  <c r="J79" i="4"/>
  <c r="M79" i="4" s="1"/>
  <c r="N79" i="4"/>
  <c r="H80" i="4"/>
  <c r="I80" i="4"/>
  <c r="K80" i="4"/>
  <c r="J82" i="4"/>
  <c r="M82" i="4"/>
  <c r="N82" i="4"/>
  <c r="J83" i="4"/>
  <c r="M83" i="4" s="1"/>
  <c r="N83" i="4"/>
  <c r="J84" i="4"/>
  <c r="M84" i="4" s="1"/>
  <c r="N84" i="4"/>
  <c r="J85" i="4"/>
  <c r="M85" i="4" s="1"/>
  <c r="N85" i="4"/>
  <c r="J86" i="4"/>
  <c r="M86" i="4" s="1"/>
  <c r="N86" i="4"/>
  <c r="J87" i="4"/>
  <c r="M87" i="4" s="1"/>
  <c r="N87" i="4"/>
  <c r="H88" i="4"/>
  <c r="I88" i="4"/>
  <c r="K88" i="4"/>
  <c r="L88" i="4"/>
  <c r="I90" i="4"/>
  <c r="I101" i="4" s="1"/>
  <c r="N90" i="4"/>
  <c r="M91" i="4"/>
  <c r="N91" i="4"/>
  <c r="M92" i="4"/>
  <c r="N92" i="4"/>
  <c r="J93" i="4"/>
  <c r="M93" i="4"/>
  <c r="N93" i="4"/>
  <c r="J94" i="4"/>
  <c r="M94" i="4" s="1"/>
  <c r="N94" i="4"/>
  <c r="J95" i="4"/>
  <c r="M95" i="4" s="1"/>
  <c r="N95" i="4"/>
  <c r="J96" i="4"/>
  <c r="M96" i="4"/>
  <c r="N96" i="4"/>
  <c r="J97" i="4"/>
  <c r="M97" i="4"/>
  <c r="N97" i="4"/>
  <c r="I98" i="4"/>
  <c r="J98" i="4"/>
  <c r="M98" i="4" s="1"/>
  <c r="N98" i="4"/>
  <c r="J99" i="4"/>
  <c r="M99" i="4" s="1"/>
  <c r="N99" i="4"/>
  <c r="J100" i="4"/>
  <c r="M100" i="4" s="1"/>
  <c r="N100" i="4"/>
  <c r="H101" i="4"/>
  <c r="K101" i="4"/>
  <c r="L101" i="4"/>
  <c r="J103" i="4"/>
  <c r="M103" i="4" s="1"/>
  <c r="N103" i="4"/>
  <c r="J104" i="4"/>
  <c r="M104" i="4" s="1"/>
  <c r="N104" i="4"/>
  <c r="J105" i="4"/>
  <c r="M105" i="4"/>
  <c r="N105" i="4"/>
  <c r="J106" i="4"/>
  <c r="L106" i="4"/>
  <c r="M106" i="4" s="1"/>
  <c r="J107" i="4"/>
  <c r="M107" i="4" s="1"/>
  <c r="N107" i="4"/>
  <c r="J108" i="4"/>
  <c r="L108" i="4"/>
  <c r="N108" i="4" s="1"/>
  <c r="M108" i="4"/>
  <c r="J109" i="4"/>
  <c r="L109" i="4"/>
  <c r="N109" i="4"/>
  <c r="M110" i="4"/>
  <c r="N110" i="4"/>
  <c r="J111" i="4"/>
  <c r="M111" i="4" s="1"/>
  <c r="N111" i="4"/>
  <c r="J112" i="4"/>
  <c r="M112" i="4" s="1"/>
  <c r="N112" i="4"/>
  <c r="H113" i="4"/>
  <c r="I113" i="4"/>
  <c r="K113" i="4"/>
  <c r="J115" i="4"/>
  <c r="M115" i="4"/>
  <c r="N115" i="4"/>
  <c r="J116" i="4"/>
  <c r="M116" i="4"/>
  <c r="N116" i="4"/>
  <c r="J117" i="4"/>
  <c r="M117" i="4"/>
  <c r="N117" i="4"/>
  <c r="J118" i="4"/>
  <c r="M118" i="4" s="1"/>
  <c r="N118" i="4"/>
  <c r="J119" i="4"/>
  <c r="M119" i="4" s="1"/>
  <c r="N119" i="4"/>
  <c r="J120" i="4"/>
  <c r="M120" i="4"/>
  <c r="N120" i="4"/>
  <c r="J121" i="4"/>
  <c r="M121" i="4" s="1"/>
  <c r="N121" i="4"/>
  <c r="H122" i="4"/>
  <c r="I122" i="4"/>
  <c r="K122" i="4"/>
  <c r="L122" i="4"/>
  <c r="J124" i="4"/>
  <c r="M124" i="4" s="1"/>
  <c r="N124" i="4"/>
  <c r="J125" i="4"/>
  <c r="L125" i="4"/>
  <c r="L127" i="4" s="1"/>
  <c r="N125" i="4"/>
  <c r="J126" i="4"/>
  <c r="M126" i="4"/>
  <c r="N126" i="4"/>
  <c r="H127" i="4"/>
  <c r="I127" i="4"/>
  <c r="K127" i="4"/>
  <c r="N129" i="4"/>
  <c r="M54" i="1"/>
  <c r="J18" i="6" l="1"/>
  <c r="Q18" i="6" s="1"/>
  <c r="G35" i="6"/>
  <c r="J90" i="4"/>
  <c r="M90" i="4" s="1"/>
  <c r="N72" i="4"/>
  <c r="N74" i="4" s="1"/>
  <c r="M42" i="4"/>
  <c r="N77" i="4"/>
  <c r="N80" i="4" s="1"/>
  <c r="M38" i="4"/>
  <c r="J35" i="6"/>
  <c r="M109" i="4"/>
  <c r="N106" i="4"/>
  <c r="N40" i="4"/>
  <c r="N13" i="4"/>
  <c r="M54" i="4"/>
  <c r="M77" i="4"/>
  <c r="M80" i="4" s="1"/>
  <c r="H128" i="4"/>
  <c r="N42" i="4"/>
  <c r="H66" i="4"/>
  <c r="J14" i="4"/>
  <c r="J15" i="4" s="1"/>
  <c r="N60" i="4"/>
  <c r="N50" i="4"/>
  <c r="J80" i="4"/>
  <c r="I128" i="4"/>
  <c r="I130" i="4" s="1"/>
  <c r="I131" i="4" s="1"/>
  <c r="N65" i="4"/>
  <c r="J60" i="4"/>
  <c r="M50" i="4"/>
  <c r="N88" i="4"/>
  <c r="M65" i="4"/>
  <c r="J50" i="4"/>
  <c r="J65" i="4"/>
  <c r="M60" i="4"/>
  <c r="L60" i="4"/>
  <c r="N127" i="4"/>
  <c r="J122" i="4"/>
  <c r="J45" i="4"/>
  <c r="N101" i="4"/>
  <c r="K128" i="4"/>
  <c r="K130" i="4" s="1"/>
  <c r="K131" i="4" s="1"/>
  <c r="N122" i="4"/>
  <c r="M122" i="4"/>
  <c r="I66" i="4"/>
  <c r="L35" i="4"/>
  <c r="J88" i="4"/>
  <c r="J101" i="4"/>
  <c r="J127" i="4"/>
  <c r="N113" i="4"/>
  <c r="N22" i="4"/>
  <c r="N35" i="4" s="1"/>
  <c r="J35" i="4"/>
  <c r="J66" i="4" s="1"/>
  <c r="J113" i="4"/>
  <c r="Q19" i="6"/>
  <c r="R20" i="6" s="1"/>
  <c r="R35" i="6" s="1"/>
  <c r="K35" i="6"/>
  <c r="M113" i="4"/>
  <c r="M101" i="4"/>
  <c r="H130" i="4"/>
  <c r="H131" i="4" s="1"/>
  <c r="M88" i="4"/>
  <c r="M20" i="4"/>
  <c r="M35" i="4" s="1"/>
  <c r="L113" i="4"/>
  <c r="L128" i="4" s="1"/>
  <c r="M125" i="4"/>
  <c r="M127" i="4" s="1"/>
  <c r="N38" i="4"/>
  <c r="L37" i="4"/>
  <c r="I37" i="1"/>
  <c r="J128" i="4" l="1"/>
  <c r="J130" i="4"/>
  <c r="J131" i="4" s="1"/>
  <c r="N128" i="4"/>
  <c r="M128" i="4"/>
  <c r="L45" i="4"/>
  <c r="L66" i="4" s="1"/>
  <c r="L130" i="4" s="1"/>
  <c r="L9" i="4" s="1"/>
  <c r="M37" i="4"/>
  <c r="M45" i="4" s="1"/>
  <c r="M66" i="4" s="1"/>
  <c r="M130" i="4" s="1"/>
  <c r="N37" i="4"/>
  <c r="N45" i="4" s="1"/>
  <c r="N66" i="4" s="1"/>
  <c r="N130" i="4" s="1"/>
  <c r="M106" i="1"/>
  <c r="M38" i="1"/>
  <c r="M37" i="1" s="1"/>
  <c r="M42" i="1"/>
  <c r="M40" i="1"/>
  <c r="I9" i="1"/>
  <c r="M9" i="4" l="1"/>
  <c r="M14" i="4" s="1"/>
  <c r="M15" i="4" s="1"/>
  <c r="M131" i="4" s="1"/>
  <c r="L14" i="4"/>
  <c r="L15" i="4" s="1"/>
  <c r="L131" i="4" s="1"/>
  <c r="N9" i="4"/>
  <c r="N14" i="4" s="1"/>
  <c r="N15" i="4" s="1"/>
  <c r="N131" i="4" s="1"/>
  <c r="M60" i="1"/>
  <c r="I98" i="1" l="1"/>
  <c r="I90" i="1"/>
  <c r="M77" i="1"/>
  <c r="M13" i="1" l="1"/>
  <c r="M125" i="1" l="1"/>
  <c r="M109" i="1"/>
  <c r="M108" i="1"/>
  <c r="M72" i="1"/>
  <c r="M12" i="1" l="1"/>
  <c r="J9" i="1"/>
  <c r="M29" i="1"/>
  <c r="M24" i="1"/>
  <c r="M22" i="1"/>
  <c r="M20" i="1"/>
  <c r="M35" i="1" s="1"/>
  <c r="M19" i="1"/>
  <c r="M80" i="1"/>
  <c r="M127" i="1"/>
  <c r="M122" i="1"/>
  <c r="M113" i="1"/>
  <c r="M70" i="1"/>
  <c r="M65" i="1"/>
  <c r="O93" i="1"/>
  <c r="O10" i="1"/>
  <c r="M74" i="1"/>
  <c r="M101" i="1"/>
  <c r="M88" i="1"/>
  <c r="M50" i="1"/>
  <c r="L126" i="1"/>
  <c r="O126" i="1" s="1"/>
  <c r="L125" i="1"/>
  <c r="O125" i="1" s="1"/>
  <c r="L124" i="1"/>
  <c r="O124" i="1" s="1"/>
  <c r="L121" i="1"/>
  <c r="O121" i="1" s="1"/>
  <c r="L120" i="1"/>
  <c r="O120" i="1" s="1"/>
  <c r="L119" i="1"/>
  <c r="O119" i="1" s="1"/>
  <c r="L118" i="1"/>
  <c r="O118" i="1" s="1"/>
  <c r="L117" i="1"/>
  <c r="O117" i="1" s="1"/>
  <c r="L116" i="1"/>
  <c r="O116" i="1" s="1"/>
  <c r="L115" i="1"/>
  <c r="O115" i="1" s="1"/>
  <c r="L112" i="1"/>
  <c r="O112" i="1" s="1"/>
  <c r="L111" i="1"/>
  <c r="O111" i="1" s="1"/>
  <c r="L109" i="1"/>
  <c r="O109" i="1" s="1"/>
  <c r="L108" i="1"/>
  <c r="O108" i="1" s="1"/>
  <c r="L107" i="1"/>
  <c r="O107" i="1" s="1"/>
  <c r="L106" i="1"/>
  <c r="O106" i="1" s="1"/>
  <c r="L105" i="1"/>
  <c r="O105" i="1" s="1"/>
  <c r="L104" i="1"/>
  <c r="O104" i="1" s="1"/>
  <c r="L103" i="1"/>
  <c r="O103" i="1" s="1"/>
  <c r="L100" i="1"/>
  <c r="O100" i="1" s="1"/>
  <c r="L99" i="1"/>
  <c r="O99" i="1" s="1"/>
  <c r="L98" i="1"/>
  <c r="O98" i="1" s="1"/>
  <c r="L97" i="1"/>
  <c r="O97" i="1" s="1"/>
  <c r="L96" i="1"/>
  <c r="O96" i="1" s="1"/>
  <c r="L95" i="1"/>
  <c r="O95" i="1" s="1"/>
  <c r="L94" i="1"/>
  <c r="O94" i="1" s="1"/>
  <c r="L90" i="1"/>
  <c r="O90" i="1" s="1"/>
  <c r="L87" i="1"/>
  <c r="O87" i="1" s="1"/>
  <c r="L86" i="1"/>
  <c r="O86" i="1" s="1"/>
  <c r="L85" i="1"/>
  <c r="O85" i="1" s="1"/>
  <c r="L84" i="1"/>
  <c r="O84" i="1" s="1"/>
  <c r="L83" i="1"/>
  <c r="O83" i="1" s="1"/>
  <c r="L82" i="1"/>
  <c r="O82" i="1" s="1"/>
  <c r="L79" i="1"/>
  <c r="L77" i="1"/>
  <c r="O77" i="1" s="1"/>
  <c r="L76" i="1"/>
  <c r="O76" i="1" s="1"/>
  <c r="L72" i="1"/>
  <c r="L74" i="1" s="1"/>
  <c r="L69" i="1"/>
  <c r="L64" i="1"/>
  <c r="O64" i="1" s="1"/>
  <c r="L62" i="1"/>
  <c r="O62" i="1" s="1"/>
  <c r="L59" i="1"/>
  <c r="O59" i="1" s="1"/>
  <c r="L58" i="1"/>
  <c r="O58" i="1" s="1"/>
  <c r="L56" i="1"/>
  <c r="O56" i="1" s="1"/>
  <c r="L55" i="1"/>
  <c r="O55" i="1" s="1"/>
  <c r="L54" i="1"/>
  <c r="O54" i="1" s="1"/>
  <c r="L53" i="1"/>
  <c r="O53" i="1" s="1"/>
  <c r="L52" i="1"/>
  <c r="O52" i="1" s="1"/>
  <c r="L49" i="1"/>
  <c r="O49" i="1" s="1"/>
  <c r="L48" i="1"/>
  <c r="O48" i="1" s="1"/>
  <c r="L47" i="1"/>
  <c r="O47" i="1" s="1"/>
  <c r="L44" i="1"/>
  <c r="O44" i="1" s="1"/>
  <c r="L43" i="1"/>
  <c r="O43" i="1" s="1"/>
  <c r="L42" i="1"/>
  <c r="L41" i="1"/>
  <c r="O41" i="1" s="1"/>
  <c r="L40" i="1"/>
  <c r="O40" i="1" s="1"/>
  <c r="L39" i="1"/>
  <c r="O39" i="1" s="1"/>
  <c r="L38" i="1"/>
  <c r="L37" i="1"/>
  <c r="L34" i="1"/>
  <c r="O34" i="1" s="1"/>
  <c r="L33" i="1"/>
  <c r="O33" i="1" s="1"/>
  <c r="L32" i="1"/>
  <c r="O32" i="1" s="1"/>
  <c r="L31" i="1"/>
  <c r="O31" i="1" s="1"/>
  <c r="L30" i="1"/>
  <c r="O30" i="1" s="1"/>
  <c r="L29" i="1"/>
  <c r="L28" i="1"/>
  <c r="O28" i="1" s="1"/>
  <c r="L27" i="1"/>
  <c r="O27" i="1" s="1"/>
  <c r="L26" i="1"/>
  <c r="O26" i="1" s="1"/>
  <c r="L25" i="1"/>
  <c r="O25" i="1" s="1"/>
  <c r="L24" i="1"/>
  <c r="L23" i="1"/>
  <c r="O23" i="1" s="1"/>
  <c r="L22" i="1"/>
  <c r="L21" i="1"/>
  <c r="O21" i="1" s="1"/>
  <c r="L20" i="1"/>
  <c r="L19" i="1"/>
  <c r="O19" i="1" s="1"/>
  <c r="L13" i="1"/>
  <c r="L12" i="1"/>
  <c r="L11" i="1"/>
  <c r="O11" i="1" s="1"/>
  <c r="BB124" i="1"/>
  <c r="BA124" i="1"/>
  <c r="BB119" i="1"/>
  <c r="BA119" i="1"/>
  <c r="BB109" i="1"/>
  <c r="BA109" i="1"/>
  <c r="BB98" i="1"/>
  <c r="BA98" i="1"/>
  <c r="BB87" i="1"/>
  <c r="BA87" i="1"/>
  <c r="BB79" i="1"/>
  <c r="BA79" i="1"/>
  <c r="BB73" i="1"/>
  <c r="BA73" i="1"/>
  <c r="BB69" i="1"/>
  <c r="BA69" i="1"/>
  <c r="BB64" i="1"/>
  <c r="BA64" i="1"/>
  <c r="BB60" i="1"/>
  <c r="BA60" i="1"/>
  <c r="BB50" i="1"/>
  <c r="BA50" i="1"/>
  <c r="BB45" i="1"/>
  <c r="BA45" i="1"/>
  <c r="BB35" i="1"/>
  <c r="BA35" i="1"/>
  <c r="BB13" i="1"/>
  <c r="BB14" i="1" s="1"/>
  <c r="BB15" i="1" s="1"/>
  <c r="BA13" i="1"/>
  <c r="BA14" i="1" s="1"/>
  <c r="BA15" i="1" s="1"/>
  <c r="AP123" i="1"/>
  <c r="AO123" i="1"/>
  <c r="AP118" i="1"/>
  <c r="AO118" i="1"/>
  <c r="AP108" i="1"/>
  <c r="AO108" i="1"/>
  <c r="AP97" i="1"/>
  <c r="AO97" i="1"/>
  <c r="AP86" i="1"/>
  <c r="AO86" i="1"/>
  <c r="AP77" i="1"/>
  <c r="AO77" i="1"/>
  <c r="AP72" i="1"/>
  <c r="AO72" i="1"/>
  <c r="AP69" i="1"/>
  <c r="AO69" i="1"/>
  <c r="AP64" i="1"/>
  <c r="AO64" i="1"/>
  <c r="AP60" i="1"/>
  <c r="AO60" i="1"/>
  <c r="AP50" i="1"/>
  <c r="AO50" i="1"/>
  <c r="AP45" i="1"/>
  <c r="AO45" i="1"/>
  <c r="AP35" i="1"/>
  <c r="AO35" i="1"/>
  <c r="AP13" i="1"/>
  <c r="AP14" i="1" s="1"/>
  <c r="AP15" i="1" s="1"/>
  <c r="AO13" i="1"/>
  <c r="AO14" i="1" s="1"/>
  <c r="AO15" i="1" s="1"/>
  <c r="AD123" i="1"/>
  <c r="AC123" i="1"/>
  <c r="AD118" i="1"/>
  <c r="AC118" i="1"/>
  <c r="AD108" i="1"/>
  <c r="AC108" i="1"/>
  <c r="AD97" i="1"/>
  <c r="AC97" i="1"/>
  <c r="AD86" i="1"/>
  <c r="AC86" i="1"/>
  <c r="AD77" i="1"/>
  <c r="AC77" i="1"/>
  <c r="AD72" i="1"/>
  <c r="AC72" i="1"/>
  <c r="AD69" i="1"/>
  <c r="AC69" i="1"/>
  <c r="AD64" i="1"/>
  <c r="AC64" i="1"/>
  <c r="AD60" i="1"/>
  <c r="AC60" i="1"/>
  <c r="AD50" i="1"/>
  <c r="AC50" i="1"/>
  <c r="AD45" i="1"/>
  <c r="AC45" i="1"/>
  <c r="AD35" i="1"/>
  <c r="AC35" i="1"/>
  <c r="AD13" i="1"/>
  <c r="AD14" i="1" s="1"/>
  <c r="AD15" i="1" s="1"/>
  <c r="AC13" i="1"/>
  <c r="AC14" i="1" s="1"/>
  <c r="AC15" i="1" s="1"/>
  <c r="J97" i="1"/>
  <c r="J95" i="1"/>
  <c r="J125" i="1"/>
  <c r="J121" i="1"/>
  <c r="J120" i="1"/>
  <c r="J119" i="1"/>
  <c r="J118" i="1"/>
  <c r="J117" i="1"/>
  <c r="J115" i="1"/>
  <c r="J112" i="1"/>
  <c r="N112" i="1" s="1"/>
  <c r="J111" i="1"/>
  <c r="J109" i="1"/>
  <c r="J108" i="1"/>
  <c r="J107" i="1"/>
  <c r="N107" i="1" s="1"/>
  <c r="J105" i="1"/>
  <c r="J104" i="1"/>
  <c r="J100" i="1"/>
  <c r="J99" i="1"/>
  <c r="J98" i="1"/>
  <c r="J96" i="1"/>
  <c r="J94" i="1"/>
  <c r="J93" i="1"/>
  <c r="J90" i="1"/>
  <c r="J86" i="1"/>
  <c r="J85" i="1"/>
  <c r="J83" i="1"/>
  <c r="J82" i="1"/>
  <c r="J79" i="1"/>
  <c r="J76" i="1"/>
  <c r="J72" i="1"/>
  <c r="I70" i="1"/>
  <c r="J62" i="1"/>
  <c r="J59" i="1"/>
  <c r="J58" i="1"/>
  <c r="J56" i="1"/>
  <c r="J55" i="1"/>
  <c r="J54" i="1"/>
  <c r="J52" i="1"/>
  <c r="N52" i="1" s="1"/>
  <c r="J49" i="1"/>
  <c r="J48" i="1"/>
  <c r="J44" i="1"/>
  <c r="J43" i="1"/>
  <c r="N43" i="1" s="1"/>
  <c r="J42" i="1"/>
  <c r="J41" i="1"/>
  <c r="J40" i="1"/>
  <c r="J39" i="1"/>
  <c r="J38" i="1"/>
  <c r="J37" i="1"/>
  <c r="J34" i="1"/>
  <c r="J33" i="1"/>
  <c r="N33" i="1" s="1"/>
  <c r="J32" i="1"/>
  <c r="J31" i="1"/>
  <c r="J30" i="1"/>
  <c r="J29" i="1"/>
  <c r="N29" i="1" s="1"/>
  <c r="J28" i="1"/>
  <c r="J27" i="1"/>
  <c r="J26" i="1"/>
  <c r="J25" i="1"/>
  <c r="J24" i="1"/>
  <c r="J23" i="1"/>
  <c r="J22" i="1"/>
  <c r="J21" i="1"/>
  <c r="N21" i="1" s="1"/>
  <c r="J20" i="1"/>
  <c r="J13" i="1"/>
  <c r="J12" i="1"/>
  <c r="J11" i="1"/>
  <c r="J10" i="1"/>
  <c r="N10" i="1" s="1"/>
  <c r="K127" i="1"/>
  <c r="K122" i="1"/>
  <c r="K113" i="1"/>
  <c r="K101" i="1"/>
  <c r="K88" i="1"/>
  <c r="K80" i="1"/>
  <c r="K74" i="1"/>
  <c r="K70" i="1"/>
  <c r="K65" i="1"/>
  <c r="K60" i="1"/>
  <c r="K50" i="1"/>
  <c r="K45" i="1"/>
  <c r="K14" i="1"/>
  <c r="H14" i="1"/>
  <c r="K35" i="1"/>
  <c r="J126" i="1"/>
  <c r="J103" i="1"/>
  <c r="J87" i="1"/>
  <c r="J64" i="1"/>
  <c r="N22" i="1" l="1"/>
  <c r="N26" i="1"/>
  <c r="N30" i="1"/>
  <c r="N34" i="1"/>
  <c r="N40" i="1"/>
  <c r="N44" i="1"/>
  <c r="N56" i="1"/>
  <c r="O12" i="1"/>
  <c r="N58" i="1"/>
  <c r="N119" i="1"/>
  <c r="AD65" i="1"/>
  <c r="AP124" i="1"/>
  <c r="N85" i="1"/>
  <c r="N94" i="1"/>
  <c r="N59" i="1"/>
  <c r="N120" i="1"/>
  <c r="N11" i="1"/>
  <c r="N72" i="1"/>
  <c r="N86" i="1"/>
  <c r="N76" i="1"/>
  <c r="O20" i="1"/>
  <c r="O42" i="1"/>
  <c r="O22" i="1"/>
  <c r="L122" i="1"/>
  <c r="L45" i="1"/>
  <c r="N55" i="1"/>
  <c r="N62" i="1"/>
  <c r="N96" i="1"/>
  <c r="N117" i="1"/>
  <c r="N121" i="1"/>
  <c r="O79" i="1"/>
  <c r="O80" i="1" s="1"/>
  <c r="O13" i="1"/>
  <c r="L70" i="1"/>
  <c r="O69" i="1"/>
  <c r="O70" i="1" s="1"/>
  <c r="O37" i="1"/>
  <c r="O38" i="1"/>
  <c r="M128" i="1"/>
  <c r="N97" i="1"/>
  <c r="O72" i="1"/>
  <c r="O74" i="1" s="1"/>
  <c r="N23" i="1"/>
  <c r="N27" i="1"/>
  <c r="N37" i="1"/>
  <c r="N41" i="1"/>
  <c r="N48" i="1"/>
  <c r="N104" i="1"/>
  <c r="AO65" i="1"/>
  <c r="BB125" i="1"/>
  <c r="O24" i="1"/>
  <c r="N24" i="1"/>
  <c r="N28" i="1"/>
  <c r="N32" i="1"/>
  <c r="N38" i="1"/>
  <c r="N42" i="1"/>
  <c r="N49" i="1"/>
  <c r="N105" i="1"/>
  <c r="N118" i="1"/>
  <c r="AC124" i="1"/>
  <c r="BA65" i="1"/>
  <c r="O29" i="1"/>
  <c r="L50" i="1"/>
  <c r="N13" i="1"/>
  <c r="N25" i="1"/>
  <c r="N31" i="1"/>
  <c r="N39" i="1"/>
  <c r="BB65" i="1"/>
  <c r="L35" i="1"/>
  <c r="AC65" i="1"/>
  <c r="L88" i="1"/>
  <c r="AD124" i="1"/>
  <c r="AO124" i="1"/>
  <c r="AO125" i="1" s="1"/>
  <c r="AO126" i="1" s="1"/>
  <c r="AO127" i="1" s="1"/>
  <c r="AP65" i="1"/>
  <c r="BA125" i="1"/>
  <c r="L65" i="1"/>
  <c r="L113" i="1"/>
  <c r="L127" i="1"/>
  <c r="N126" i="1"/>
  <c r="N125" i="1"/>
  <c r="N108" i="1"/>
  <c r="O113" i="1"/>
  <c r="N103" i="1"/>
  <c r="N109" i="1"/>
  <c r="N111" i="1"/>
  <c r="N99" i="1"/>
  <c r="L101" i="1"/>
  <c r="N100" i="1"/>
  <c r="N98" i="1"/>
  <c r="N93" i="1"/>
  <c r="N95" i="1"/>
  <c r="N87" i="1"/>
  <c r="N82" i="1"/>
  <c r="N83" i="1"/>
  <c r="L80" i="1"/>
  <c r="N79" i="1"/>
  <c r="N74" i="1"/>
  <c r="N64" i="1"/>
  <c r="L60" i="1"/>
  <c r="N54" i="1"/>
  <c r="N12" i="1"/>
  <c r="I65" i="1"/>
  <c r="I127" i="1"/>
  <c r="O50" i="1"/>
  <c r="I80" i="1"/>
  <c r="J69" i="1"/>
  <c r="J70" i="1" s="1"/>
  <c r="I50" i="1"/>
  <c r="I122" i="1"/>
  <c r="K128" i="1"/>
  <c r="K66" i="1"/>
  <c r="J124" i="1"/>
  <c r="N124" i="1" s="1"/>
  <c r="I113" i="1"/>
  <c r="I101" i="1"/>
  <c r="I88" i="1"/>
  <c r="J77" i="1"/>
  <c r="N77" i="1" s="1"/>
  <c r="I60" i="1"/>
  <c r="J47" i="1"/>
  <c r="N47" i="1" s="1"/>
  <c r="I35" i="1"/>
  <c r="J116" i="1"/>
  <c r="N116" i="1" s="1"/>
  <c r="J106" i="1"/>
  <c r="N106" i="1" s="1"/>
  <c r="J84" i="1"/>
  <c r="N84" i="1" s="1"/>
  <c r="I74" i="1"/>
  <c r="J53" i="1"/>
  <c r="N53" i="1" s="1"/>
  <c r="I45" i="1"/>
  <c r="J19" i="1"/>
  <c r="N19" i="1" s="1"/>
  <c r="I14" i="1"/>
  <c r="O88" i="1"/>
  <c r="O101" i="1"/>
  <c r="O122" i="1"/>
  <c r="O127" i="1"/>
  <c r="J101" i="1"/>
  <c r="O60" i="1"/>
  <c r="O65" i="1"/>
  <c r="N90" i="1"/>
  <c r="N115" i="1"/>
  <c r="N20" i="1"/>
  <c r="J14" i="1"/>
  <c r="J15" i="1" s="1"/>
  <c r="J45" i="1"/>
  <c r="J65" i="1"/>
  <c r="J74" i="1"/>
  <c r="AD125" i="1" l="1"/>
  <c r="AD126" i="1" s="1"/>
  <c r="AD127" i="1" s="1"/>
  <c r="BB126" i="1"/>
  <c r="BB127" i="1" s="1"/>
  <c r="BB128" i="1" s="1"/>
  <c r="AP125" i="1"/>
  <c r="AP126" i="1" s="1"/>
  <c r="AP127" i="1" s="1"/>
  <c r="N45" i="1"/>
  <c r="BA126" i="1"/>
  <c r="BA127" i="1" s="1"/>
  <c r="BA128" i="1" s="1"/>
  <c r="AC125" i="1"/>
  <c r="AC126" i="1" s="1"/>
  <c r="AC127" i="1" s="1"/>
  <c r="O35" i="1"/>
  <c r="O45" i="1"/>
  <c r="L66" i="1"/>
  <c r="N50" i="1"/>
  <c r="N80" i="1"/>
  <c r="M45" i="1"/>
  <c r="M66" i="1" s="1"/>
  <c r="M130" i="1" s="1"/>
  <c r="M9" i="1" s="1"/>
  <c r="N65" i="1"/>
  <c r="L128" i="1"/>
  <c r="L130" i="1" s="1"/>
  <c r="N101" i="1"/>
  <c r="N127" i="1"/>
  <c r="N113" i="1"/>
  <c r="N88" i="1"/>
  <c r="N60" i="1"/>
  <c r="J88" i="1"/>
  <c r="K130" i="1"/>
  <c r="I128" i="1"/>
  <c r="N69" i="1"/>
  <c r="N70" i="1" s="1"/>
  <c r="I66" i="1"/>
  <c r="J127" i="1"/>
  <c r="N35" i="1"/>
  <c r="O128" i="1"/>
  <c r="J113" i="1"/>
  <c r="J80" i="1"/>
  <c r="J50" i="1"/>
  <c r="N122" i="1"/>
  <c r="J122" i="1"/>
  <c r="J60" i="1"/>
  <c r="J35" i="1"/>
  <c r="O66" i="1" l="1"/>
  <c r="L9" i="1"/>
  <c r="O9" i="1" s="1"/>
  <c r="O14" i="1" s="1"/>
  <c r="O15" i="1" s="1"/>
  <c r="M14" i="1"/>
  <c r="M15" i="1" s="1"/>
  <c r="M131" i="1" s="1"/>
  <c r="N66" i="1"/>
  <c r="I130" i="1"/>
  <c r="N128" i="1"/>
  <c r="J128" i="1"/>
  <c r="J66" i="1"/>
  <c r="L14" i="1" l="1"/>
  <c r="L15" i="1" s="1"/>
  <c r="L131" i="1" s="1"/>
  <c r="N9" i="1"/>
  <c r="N14" i="1" s="1"/>
  <c r="N15" i="1" s="1"/>
  <c r="N130" i="1"/>
  <c r="J130" i="1"/>
  <c r="J131" i="1" s="1"/>
  <c r="N131" i="1" l="1"/>
  <c r="H65" i="1"/>
  <c r="H35" i="1"/>
  <c r="H45" i="1"/>
  <c r="H50" i="1"/>
  <c r="H60" i="1"/>
  <c r="H70" i="1"/>
  <c r="H74" i="1"/>
  <c r="H80" i="1"/>
  <c r="H88" i="1"/>
  <c r="H101" i="1"/>
  <c r="H113" i="1"/>
  <c r="H122" i="1"/>
  <c r="H127" i="1"/>
  <c r="K15" i="1"/>
  <c r="K131" i="1" s="1"/>
  <c r="I15" i="1"/>
  <c r="I131" i="1" s="1"/>
  <c r="H15" i="1"/>
  <c r="O129" i="1"/>
  <c r="O130" i="1" s="1"/>
  <c r="O131" i="1" s="1"/>
  <c r="I133" i="1"/>
  <c r="H133" i="1"/>
  <c r="H66" i="1" l="1"/>
  <c r="H128" i="1"/>
  <c r="H130" i="1" l="1"/>
  <c r="I134" i="1"/>
  <c r="H131" i="1" l="1"/>
  <c r="H134" i="1" s="1"/>
</calcChain>
</file>

<file path=xl/sharedStrings.xml><?xml version="1.0" encoding="utf-8"?>
<sst xmlns="http://schemas.openxmlformats.org/spreadsheetml/2006/main" count="824" uniqueCount="281">
  <si>
    <t>Ordinary Income/Expense</t>
  </si>
  <si>
    <t>Income</t>
  </si>
  <si>
    <t>4100000 · General Fund Income</t>
  </si>
  <si>
    <t>4100100 · Regular Contributions</t>
  </si>
  <si>
    <t>4100110 · Building Use Rental Income</t>
  </si>
  <si>
    <t>4100130 · Other Income</t>
  </si>
  <si>
    <t>4100140 · Rental Property (Houses)</t>
  </si>
  <si>
    <t>Total 4100000 · General Fund Income</t>
  </si>
  <si>
    <t>Total Income</t>
  </si>
  <si>
    <t>Expense</t>
  </si>
  <si>
    <t>6100000 · Committed Expenditures</t>
  </si>
  <si>
    <t>6100100 · Facility</t>
  </si>
  <si>
    <t>6100102 · Electricity</t>
  </si>
  <si>
    <t>6100103 · Gas</t>
  </si>
  <si>
    <t>6100106 · Sewer</t>
  </si>
  <si>
    <t>6100109 · Trash</t>
  </si>
  <si>
    <t>6100112 · Water</t>
  </si>
  <si>
    <t>6100115 · Building Supplies</t>
  </si>
  <si>
    <t>6100150 · Maintenance and Repair</t>
  </si>
  <si>
    <t>6100155 · Renovations and Upgrades</t>
  </si>
  <si>
    <t>6100160 · Property Insurance</t>
  </si>
  <si>
    <t>6100175 · Rent House Maintenance</t>
  </si>
  <si>
    <t>6100180 · Rent House Real Estate Taxes</t>
  </si>
  <si>
    <t>6100185 · Lawn Care</t>
  </si>
  <si>
    <t>6100190 · Snow Removal</t>
  </si>
  <si>
    <t>Total 6100100 · Facility</t>
  </si>
  <si>
    <t>6100300 · Payroll</t>
  </si>
  <si>
    <t>6100305 · Salaries &amp; Wages</t>
  </si>
  <si>
    <t>6100310 · Housing Allowance</t>
  </si>
  <si>
    <t>6100320 · Pulpit Ministers Resources</t>
  </si>
  <si>
    <t>6100330 · Education and Training</t>
  </si>
  <si>
    <t>6100340 · Workers Compensation</t>
  </si>
  <si>
    <t>6100350 · Disability &amp; Health Insurance</t>
  </si>
  <si>
    <t>6100380 · Retirement</t>
  </si>
  <si>
    <t>6100390 · Payroll Taxes</t>
  </si>
  <si>
    <t>Total 6100300 · Payroll</t>
  </si>
  <si>
    <t>6100400 · Automotive</t>
  </si>
  <si>
    <t>6100440 · Automotive Insurance</t>
  </si>
  <si>
    <t>6100450 · Automotive Fuel</t>
  </si>
  <si>
    <t>6100460 · Van Maintenance &amp; Rentals</t>
  </si>
  <si>
    <t>Total 6100400 · Automotive</t>
  </si>
  <si>
    <t>6100500 · Office</t>
  </si>
  <si>
    <t>6100510 · Copy Machine</t>
  </si>
  <si>
    <t>6100562 · Computer Technology-Network</t>
  </si>
  <si>
    <t>6100565 · Background Checks</t>
  </si>
  <si>
    <t>6100570 · Office Supplies</t>
  </si>
  <si>
    <t>6100580 · Postage</t>
  </si>
  <si>
    <t>Total 6100500 · Office</t>
  </si>
  <si>
    <t>6100600 · Finance</t>
  </si>
  <si>
    <t>6100610 · Mortgage Payments (Interest)</t>
  </si>
  <si>
    <t>Total 6100600 · Finance</t>
  </si>
  <si>
    <t>Total 6100000 · Committed Expenditures</t>
  </si>
  <si>
    <t>7100000 · Uncommitted Expenditures</t>
  </si>
  <si>
    <t>7100100 · Adult Ministry</t>
  </si>
  <si>
    <t>7100105 · Adult Curriculum</t>
  </si>
  <si>
    <t>Total 7100100 · Adult Ministry</t>
  </si>
  <si>
    <t>7100200 · Youth Ministry</t>
  </si>
  <si>
    <t>Total 7100200 · Youth Ministry</t>
  </si>
  <si>
    <t>7100300 · Children's Ministry</t>
  </si>
  <si>
    <t>7100305 · Supply Center</t>
  </si>
  <si>
    <t>7100320 · 3 and 4 year olds</t>
  </si>
  <si>
    <t>7100350 · VBS</t>
  </si>
  <si>
    <t>7100360 · Family Activities</t>
  </si>
  <si>
    <t>7100370 · Children's Worship</t>
  </si>
  <si>
    <t>Total 7100300 · Children's Ministry</t>
  </si>
  <si>
    <t>7100400 · Missions</t>
  </si>
  <si>
    <t>7100402 · General Mission Fund</t>
  </si>
  <si>
    <t>7100405 · ACTS Campus Ministry</t>
  </si>
  <si>
    <t>7100410 · Christian Family Services</t>
  </si>
  <si>
    <t>7100415 · Camp Ne-O-Tez</t>
  </si>
  <si>
    <t>7100425 · Marseille France</t>
  </si>
  <si>
    <t>7100430 · Panama</t>
  </si>
  <si>
    <t>Total 7100400 · Missions</t>
  </si>
  <si>
    <t>7100500 · Outreach</t>
  </si>
  <si>
    <t>7100520 · Food Pantry</t>
  </si>
  <si>
    <t>7100540 · Room at the Inn</t>
  </si>
  <si>
    <t>7100570 · Welcome Ministry</t>
  </si>
  <si>
    <t>7100590 · Outreach Minister Working Fund</t>
  </si>
  <si>
    <t>Total 7100500 · Outreach</t>
  </si>
  <si>
    <t>7100600 · Fellowship</t>
  </si>
  <si>
    <t>7100610 · Kitchen Consumables</t>
  </si>
  <si>
    <t>7100650 · Farewell Gifts</t>
  </si>
  <si>
    <t>7100660 · Fellowship Activities</t>
  </si>
  <si>
    <t>7100670 · Women's Activities</t>
  </si>
  <si>
    <t>7100680 · Men's Activities</t>
  </si>
  <si>
    <t>Total 7100600 · Fellowship</t>
  </si>
  <si>
    <t>7100700 · Worship</t>
  </si>
  <si>
    <t>7100710 · Auditorium/Gymnasium</t>
  </si>
  <si>
    <t>7100730 · Special Services</t>
  </si>
  <si>
    <t>Total 7100700 · Worship</t>
  </si>
  <si>
    <t>Total 7100000 · Uncommitted Expenditures</t>
  </si>
  <si>
    <t>Total Expense</t>
  </si>
  <si>
    <t>Net Ordinary Income</t>
  </si>
  <si>
    <t>Mortgage Principal Payments</t>
  </si>
  <si>
    <t>7100591 · New Member Orientation</t>
  </si>
  <si>
    <t>7100231 · Teenage Shepherding</t>
  </si>
  <si>
    <t>7100580 · Community Events</t>
  </si>
  <si>
    <t>7100800 · Capital Expenditure Replenish</t>
  </si>
  <si>
    <t>7100630 · Funeral Expenses</t>
  </si>
  <si>
    <t>7100210 · Senior/Junior High</t>
  </si>
  <si>
    <t>7100230 · Youth Missions/Impact Week</t>
  </si>
  <si>
    <t>7100403 · Africa-Brockington</t>
  </si>
  <si>
    <t>7100510 · Benevolence-Member</t>
  </si>
  <si>
    <t>7100515 · Benevolence-Nonmember</t>
  </si>
  <si>
    <t>Net Income on Cashflow Statement</t>
  </si>
  <si>
    <t>7100593 · Congregational Child Care</t>
  </si>
  <si>
    <t>4100105 · Special Contributions</t>
  </si>
  <si>
    <t>7100428 · Mauritius</t>
  </si>
  <si>
    <t>7100640 · Connect Groups</t>
  </si>
  <si>
    <t>7100735 · Safety</t>
  </si>
  <si>
    <t>6100581 · Misc-Not Budgeted</t>
  </si>
  <si>
    <t>6100105 · Telephone/Internet</t>
  </si>
  <si>
    <t>Total 7100170 · Next Gen Ministry</t>
  </si>
  <si>
    <t>6100195 · Janitor Supplies/Cleaning</t>
  </si>
  <si>
    <t>7100170 · Next Gen Ministry</t>
  </si>
  <si>
    <t>7100175 · Next Gen Ministry</t>
  </si>
  <si>
    <t>7100180 · Next Gen Outreach</t>
  </si>
  <si>
    <t>6100170 · Rental House Utility</t>
  </si>
  <si>
    <t>6100690 · Bank/Broker and other Fees</t>
  </si>
  <si>
    <t>7100427 · North City Church/Urban Youth O</t>
  </si>
  <si>
    <t>6100615 · Jefferson B&amp;T Principal</t>
  </si>
  <si>
    <t>Gross Profit</t>
  </si>
  <si>
    <t>6100105 · Telephone / Internet</t>
  </si>
  <si>
    <t>6100520 · Web Site / Social Media</t>
  </si>
  <si>
    <t>6100581 · Miscellaneous-not budgeted</t>
  </si>
  <si>
    <t>6100690 · Bank / Broker and other Fees</t>
  </si>
  <si>
    <t>7100230 · Youth Missions / Impact Week</t>
  </si>
  <si>
    <t>Net Income</t>
  </si>
  <si>
    <t>Budget</t>
  </si>
  <si>
    <t>7100341 · 3rd - 5th Quarterly Events</t>
  </si>
  <si>
    <t>A</t>
  </si>
  <si>
    <t>B</t>
  </si>
  <si>
    <t>A+B</t>
  </si>
  <si>
    <t>∆</t>
  </si>
  <si>
    <t>Projected</t>
  </si>
  <si>
    <t>Total</t>
  </si>
  <si>
    <t>2022</t>
  </si>
  <si>
    <t>Change</t>
  </si>
  <si>
    <t>Inc/Exp</t>
  </si>
  <si>
    <t>Annual</t>
  </si>
  <si>
    <t>YTD Jan-Sep Actual</t>
  </si>
  <si>
    <t>Logan &amp; Emily Whelan</t>
  </si>
  <si>
    <t>Ally Gasser</t>
  </si>
  <si>
    <t>4th Qtr</t>
  </si>
  <si>
    <t>2022 Actual</t>
  </si>
  <si>
    <t>Jan-Sep 22</t>
  </si>
  <si>
    <t>Oct-Dec 21</t>
  </si>
  <si>
    <t>2023</t>
  </si>
  <si>
    <t>5% Below</t>
  </si>
  <si>
    <t>Budget 2022</t>
  </si>
  <si>
    <t>4th Quarter Prior Yr</t>
  </si>
  <si>
    <t xml:space="preserve">   Profit &amp; Loss YTD Budget vs Actual (Oct-Dec LY)</t>
  </si>
  <si>
    <t xml:space="preserve">   Profit &amp; Loss YTD Budget vs Actual (Jan-Sep TY)</t>
  </si>
  <si>
    <t xml:space="preserve">  Profit &amp; Loss YTD Budget vs Actual (Jan-Dec TY)</t>
  </si>
  <si>
    <t>Jan - Dec 22</t>
  </si>
  <si>
    <t>Jan - Sep 22</t>
  </si>
  <si>
    <t>Oct - Dec 21</t>
  </si>
  <si>
    <t>2022 Project'd</t>
  </si>
  <si>
    <t>Req'std/Ok'd</t>
  </si>
  <si>
    <t>Curriculum Expenses</t>
  </si>
  <si>
    <t>Family Milestones</t>
  </si>
  <si>
    <t>Preschl/Elem Activities</t>
  </si>
  <si>
    <t>Leadership Development</t>
  </si>
  <si>
    <t>VBS</t>
  </si>
  <si>
    <t>Minister Outreach</t>
  </si>
  <si>
    <t>7100320 · 3 &amp; 4 yr olds=&gt;Curriculum Exp</t>
  </si>
  <si>
    <t>7100350 · VBS=&gt;Preschl/Elem Activities</t>
  </si>
  <si>
    <t>7100360 · Family Activt=Leadership Dev</t>
  </si>
  <si>
    <t>7100370 · Children's Worship=&gt;VBS</t>
  </si>
  <si>
    <t>7100341 · 3-5 Qrtly E=&gt;Family Milestones</t>
  </si>
  <si>
    <t>7100430 · Panama=&gt;ACTS Spg Mission</t>
  </si>
  <si>
    <t>2023 5% Cut</t>
  </si>
  <si>
    <t>2023 Req/Ok'd</t>
  </si>
  <si>
    <t>Leaders lunches &amp; meetings</t>
  </si>
  <si>
    <t>Student scholarship</t>
  </si>
  <si>
    <t>7100305 · Children Minister shepherding</t>
  </si>
  <si>
    <t>7100231 · Youth Minister Shepherding</t>
  </si>
  <si>
    <t>7100590 · Sr. Minister shepherding</t>
  </si>
  <si>
    <t>Connection Minister Shepherding</t>
  </si>
  <si>
    <t>Includes $2500 Honduras</t>
  </si>
  <si>
    <t>Payroll Fees</t>
  </si>
  <si>
    <t>$140 x 12 mos</t>
  </si>
  <si>
    <t>Includes communion servings</t>
  </si>
  <si>
    <t xml:space="preserve"> +7% </t>
  </si>
  <si>
    <t>New Payroll Fees</t>
  </si>
  <si>
    <t xml:space="preserve"> -3% </t>
  </si>
  <si>
    <t>2023 Budget</t>
  </si>
  <si>
    <t>2022 Budget</t>
  </si>
  <si>
    <t>Net Results</t>
  </si>
  <si>
    <t>Total Expenses</t>
  </si>
  <si>
    <t>Mortgage</t>
  </si>
  <si>
    <t>(1/2 Jeannie)</t>
  </si>
  <si>
    <t>Office, Maint, Janitorial, Facility, Auto</t>
  </si>
  <si>
    <t>Building/Vans/Office</t>
  </si>
  <si>
    <t>Marseilles, Mauritius, Panama, General</t>
  </si>
  <si>
    <t>Foreign Missions</t>
  </si>
  <si>
    <t>CFS, ACTS, North City, Neotez</t>
  </si>
  <si>
    <t>Local Missions</t>
  </si>
  <si>
    <t>Michalie, Nathan, Intern, Next Gen, Youth</t>
  </si>
  <si>
    <t>Youth/Teens Ministry</t>
  </si>
  <si>
    <t>Heather, Gwen, Jeremiah, Childrens</t>
  </si>
  <si>
    <t>Childrens Ministry</t>
  </si>
  <si>
    <t>Jeff, Jeremy, Outreach, Fellowship,Worship</t>
  </si>
  <si>
    <t>Total church Ministry</t>
  </si>
  <si>
    <t>Other</t>
  </si>
  <si>
    <t>+7%</t>
  </si>
  <si>
    <t>Giving</t>
  </si>
  <si>
    <t>1/07/2023</t>
  </si>
  <si>
    <t>Brockingtons end; CFS/ACTS/Ncity/Neotez -5%</t>
  </si>
  <si>
    <t>Missions</t>
  </si>
  <si>
    <t>-5% most</t>
  </si>
  <si>
    <t>Ministries</t>
  </si>
  <si>
    <t>+ utility rates</t>
  </si>
  <si>
    <t>Bldg/Vans/Office</t>
  </si>
  <si>
    <t>+3% raises; Jeannie end; Dolores 9mo; J+N all yr</t>
  </si>
  <si>
    <t>Staff</t>
  </si>
  <si>
    <t>2022 Hourly 'ee rate  Miller=$22.11,Hunsaker=$21.54, D Beauchamp=$13.00</t>
  </si>
  <si>
    <t>Intern works 10 weeks x 40 hrs x $12 = $4,800 + 2 of those wks are at camp x 10 hrs OT x $18 = add'l $360;  $4800+360+40 rounding=$5,200.</t>
  </si>
  <si>
    <t>Dolores works 1/1 - 3/31; Paid severence 4/1 - 9/30.</t>
  </si>
  <si>
    <t>80% of health insurance costs ($1200*12*.8)</t>
  </si>
  <si>
    <t>**</t>
  </si>
  <si>
    <t>These are not actual payroll paid but amount of payroll that is budgeted/estimated for this position</t>
  </si>
  <si>
    <t>*</t>
  </si>
  <si>
    <t>Worker's Compensation</t>
  </si>
  <si>
    <t>Summer-reimburse</t>
  </si>
  <si>
    <t>Summer (1)</t>
  </si>
  <si>
    <t>Interns</t>
  </si>
  <si>
    <t>Briggs, Carol (3 hr)</t>
  </si>
  <si>
    <t>Cannon, Whitney (7 hr)</t>
  </si>
  <si>
    <t>Cannon, Micheal(7 hr)</t>
  </si>
  <si>
    <t>Beauchamp, Dylan (9 hr)</t>
  </si>
  <si>
    <t>Custodial</t>
  </si>
  <si>
    <t>Hunsaker, T (20 hr/wk)</t>
  </si>
  <si>
    <t>Maintenance</t>
  </si>
  <si>
    <t>McPherson, E  (40+ hr/wk)</t>
  </si>
  <si>
    <t>Miller, D (20 hr/wk)</t>
  </si>
  <si>
    <t xml:space="preserve"> Office Staff</t>
  </si>
  <si>
    <t>n/a</t>
  </si>
  <si>
    <t>Part Time Ministers</t>
  </si>
  <si>
    <t>Admin to Guidestone</t>
  </si>
  <si>
    <t>Haywood, J.</t>
  </si>
  <si>
    <t xml:space="preserve">Picker, J </t>
  </si>
  <si>
    <t>Kryder, J</t>
  </si>
  <si>
    <t>Strickland, N</t>
  </si>
  <si>
    <t>Britzmann, J (32 hr/wk)</t>
  </si>
  <si>
    <t>Full Time Ministers</t>
  </si>
  <si>
    <t>Comp</t>
  </si>
  <si>
    <t>Resource</t>
  </si>
  <si>
    <t>Training</t>
  </si>
  <si>
    <t>Disability</t>
  </si>
  <si>
    <t>Dental</t>
  </si>
  <si>
    <t>Health</t>
  </si>
  <si>
    <t>FICA</t>
  </si>
  <si>
    <t>Match</t>
  </si>
  <si>
    <t>Cash</t>
  </si>
  <si>
    <t>hours</t>
  </si>
  <si>
    <t>Raise</t>
  </si>
  <si>
    <t>est. hr</t>
  </si>
  <si>
    <t>Personell</t>
  </si>
  <si>
    <t>Rate</t>
  </si>
  <si>
    <t xml:space="preserve">Work </t>
  </si>
  <si>
    <t>Minister</t>
  </si>
  <si>
    <t>Education</t>
  </si>
  <si>
    <t>Retire</t>
  </si>
  <si>
    <t>Out</t>
  </si>
  <si>
    <t>Salary</t>
  </si>
  <si>
    <t>inc(dec)</t>
  </si>
  <si>
    <t>Hourly</t>
  </si>
  <si>
    <t>Salary/</t>
  </si>
  <si>
    <t>Pulpit</t>
  </si>
  <si>
    <t>Opt</t>
  </si>
  <si>
    <t xml:space="preserve">Salary </t>
  </si>
  <si>
    <t>Estimate</t>
  </si>
  <si>
    <t>McKnight Crossings Church of Christ</t>
  </si>
  <si>
    <t xml:space="preserve">Year vs Year </t>
  </si>
  <si>
    <t>2023 Budget Final</t>
  </si>
  <si>
    <t>Projections for 2023 Payroll/Benefits/Health (Final)</t>
  </si>
  <si>
    <t xml:space="preserve">Budget Build Worksheet </t>
  </si>
  <si>
    <t>2023 Final</t>
  </si>
  <si>
    <t>.</t>
  </si>
  <si>
    <t xml:space="preserve">On Jan. 11, 2023 the Elders decided to share this summary data with thecongregation.  However, detail will be provided upon inquiry.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</si>
</sst>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#,##0.00;\-#,##0.00"/>
    <numFmt numFmtId="165" formatCode="_(* #,##0_);_(* \(#,##0\);_(* &quot;-&quot;??_);_(@_)"/>
    <numFmt numFmtId="166" formatCode="&quot;$&quot;#,##0.00"/>
    <numFmt numFmtId="167" formatCode="#,##0.000"/>
    <numFmt numFmtId="168" formatCode="#,##0.0000"/>
  </numFmts>
  <fonts count="3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0070C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92D050"/>
      <name val="Calibri"/>
      <family val="2"/>
      <scheme val="minor"/>
    </font>
    <font>
      <b/>
      <sz val="9"/>
      <color theme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9"/>
      <color theme="6" tint="-0.249977111117893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7"/>
      <color rgb="FF000000"/>
      <name val="Arial"/>
      <family val="2"/>
    </font>
    <font>
      <b/>
      <sz val="8"/>
      <color rgb="FFFF0000"/>
      <name val="Arial"/>
      <family val="2"/>
    </font>
    <font>
      <b/>
      <strike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CF7D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E0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247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0" xfId="0" applyNumberFormat="1" applyFont="1"/>
    <xf numFmtId="40" fontId="0" fillId="0" borderId="0" xfId="0" applyNumberFormat="1"/>
    <xf numFmtId="49" fontId="1" fillId="2" borderId="0" xfId="0" applyNumberFormat="1" applyFont="1" applyFill="1"/>
    <xf numFmtId="164" fontId="1" fillId="0" borderId="0" xfId="0" applyNumberFormat="1" applyFont="1" applyBorder="1"/>
    <xf numFmtId="0" fontId="0" fillId="0" borderId="0" xfId="0" applyFill="1"/>
    <xf numFmtId="49" fontId="1" fillId="3" borderId="0" xfId="0" applyNumberFormat="1" applyFont="1" applyFill="1"/>
    <xf numFmtId="49" fontId="1" fillId="4" borderId="0" xfId="0" applyNumberFormat="1" applyFont="1" applyFill="1"/>
    <xf numFmtId="49" fontId="1" fillId="5" borderId="0" xfId="0" applyNumberFormat="1" applyFont="1" applyFill="1"/>
    <xf numFmtId="40" fontId="0" fillId="0" borderId="0" xfId="0" applyNumberFormat="1" applyFill="1" applyBorder="1"/>
    <xf numFmtId="0" fontId="0" fillId="0" borderId="0" xfId="0" applyBorder="1"/>
    <xf numFmtId="49" fontId="1" fillId="0" borderId="0" xfId="0" applyNumberFormat="1" applyFont="1" applyBorder="1"/>
    <xf numFmtId="0" fontId="0" fillId="0" borderId="0" xfId="0" applyFill="1" applyBorder="1"/>
    <xf numFmtId="49" fontId="1" fillId="6" borderId="0" xfId="0" applyNumberFormat="1" applyFont="1" applyFill="1"/>
    <xf numFmtId="164" fontId="2" fillId="0" borderId="0" xfId="0" applyNumberFormat="1" applyFont="1"/>
    <xf numFmtId="164" fontId="2" fillId="0" borderId="0" xfId="0" applyNumberFormat="1" applyFont="1" applyBorder="1"/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/>
    <xf numFmtId="0" fontId="1" fillId="0" borderId="0" xfId="0" quotePrefix="1" applyNumberFormat="1" applyFont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Border="1"/>
    <xf numFmtId="0" fontId="0" fillId="0" borderId="0" xfId="0" applyNumberFormat="1" applyFill="1"/>
    <xf numFmtId="0" fontId="0" fillId="0" borderId="0" xfId="0" applyNumberFormat="1" applyFont="1" applyBorder="1"/>
    <xf numFmtId="0" fontId="0" fillId="0" borderId="0" xfId="0" applyFont="1" applyBorder="1"/>
    <xf numFmtId="0" fontId="0" fillId="0" borderId="0" xfId="0" applyNumberFormat="1" applyBorder="1"/>
    <xf numFmtId="0" fontId="3" fillId="0" borderId="0" xfId="0" applyNumberFormat="1" applyFont="1"/>
    <xf numFmtId="8" fontId="1" fillId="0" borderId="0" xfId="0" applyNumberFormat="1" applyFont="1" applyAlignment="1">
      <alignment horizontal="left"/>
    </xf>
    <xf numFmtId="6" fontId="1" fillId="0" borderId="0" xfId="0" applyNumberFormat="1" applyFont="1"/>
    <xf numFmtId="49" fontId="1" fillId="7" borderId="0" xfId="0" applyNumberFormat="1" applyFont="1" applyFill="1"/>
    <xf numFmtId="49" fontId="5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/>
    <xf numFmtId="0" fontId="1" fillId="0" borderId="0" xfId="0" applyNumberFormat="1" applyFont="1" applyFill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49" fontId="1" fillId="0" borderId="7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3" fontId="2" fillId="0" borderId="0" xfId="0" applyNumberFormat="1" applyFont="1"/>
    <xf numFmtId="3" fontId="2" fillId="9" borderId="0" xfId="0" applyNumberFormat="1" applyFont="1" applyFill="1"/>
    <xf numFmtId="3" fontId="2" fillId="9" borderId="1" xfId="0" applyNumberFormat="1" applyFont="1" applyFill="1" applyBorder="1"/>
    <xf numFmtId="40" fontId="7" fillId="0" borderId="0" xfId="0" applyNumberFormat="1" applyFont="1" applyBorder="1"/>
    <xf numFmtId="40" fontId="7" fillId="0" borderId="0" xfId="0" applyNumberFormat="1" applyFont="1" applyFill="1" applyBorder="1"/>
    <xf numFmtId="0" fontId="7" fillId="0" borderId="0" xfId="0" applyFont="1"/>
    <xf numFmtId="164" fontId="2" fillId="0" borderId="0" xfId="0" applyNumberFormat="1" applyFont="1" applyFill="1" applyBorder="1"/>
    <xf numFmtId="3" fontId="7" fillId="8" borderId="0" xfId="0" applyNumberFormat="1" applyFont="1" applyFill="1"/>
    <xf numFmtId="2" fontId="8" fillId="0" borderId="0" xfId="0" applyNumberFormat="1" applyFont="1" applyFill="1" applyBorder="1"/>
    <xf numFmtId="3" fontId="2" fillId="8" borderId="0" xfId="0" applyNumberFormat="1" applyFont="1" applyFill="1"/>
    <xf numFmtId="3" fontId="2" fillId="8" borderId="1" xfId="0" applyNumberFormat="1" applyFont="1" applyFill="1" applyBorder="1"/>
    <xf numFmtId="3" fontId="0" fillId="0" borderId="0" xfId="0" applyNumberFormat="1"/>
    <xf numFmtId="3" fontId="2" fillId="4" borderId="2" xfId="0" applyNumberFormat="1" applyFont="1" applyFill="1" applyBorder="1"/>
    <xf numFmtId="3" fontId="2" fillId="5" borderId="5" xfId="0" applyNumberFormat="1" applyFont="1" applyFill="1" applyBorder="1"/>
    <xf numFmtId="3" fontId="2" fillId="0" borderId="0" xfId="0" applyNumberFormat="1" applyFont="1" applyFill="1"/>
    <xf numFmtId="3" fontId="2" fillId="4" borderId="0" xfId="0" applyNumberFormat="1" applyFont="1" applyFill="1"/>
    <xf numFmtId="3" fontId="2" fillId="4" borderId="0" xfId="0" applyNumberFormat="1" applyFont="1" applyFill="1" applyBorder="1"/>
    <xf numFmtId="3" fontId="2" fillId="4" borderId="5" xfId="0" applyNumberFormat="1" applyFont="1" applyFill="1" applyBorder="1"/>
    <xf numFmtId="3" fontId="2" fillId="4" borderId="1" xfId="0" applyNumberFormat="1" applyFont="1" applyFill="1" applyBorder="1"/>
    <xf numFmtId="3" fontId="2" fillId="7" borderId="5" xfId="0" applyNumberFormat="1" applyFont="1" applyFill="1" applyBorder="1"/>
    <xf numFmtId="3" fontId="2" fillId="7" borderId="1" xfId="0" applyNumberFormat="1" applyFont="1" applyFill="1" applyBorder="1"/>
    <xf numFmtId="3" fontId="2" fillId="7" borderId="2" xfId="0" applyNumberFormat="1" applyFont="1" applyFill="1" applyBorder="1"/>
    <xf numFmtId="3" fontId="2" fillId="3" borderId="2" xfId="0" applyNumberFormat="1" applyFont="1" applyFill="1" applyBorder="1"/>
    <xf numFmtId="3" fontId="1" fillId="5" borderId="6" xfId="0" applyNumberFormat="1" applyFont="1" applyFill="1" applyBorder="1"/>
    <xf numFmtId="3" fontId="0" fillId="2" borderId="0" xfId="0" applyNumberFormat="1" applyFont="1" applyFill="1"/>
    <xf numFmtId="3" fontId="0" fillId="0" borderId="3" xfId="0" applyNumberFormat="1" applyBorder="1"/>
    <xf numFmtId="3" fontId="0" fillId="0" borderId="4" xfId="0" applyNumberFormat="1" applyBorder="1"/>
    <xf numFmtId="49" fontId="1" fillId="2" borderId="7" xfId="0" applyNumberFormat="1" applyFont="1" applyFill="1" applyBorder="1" applyAlignment="1">
      <alignment horizontal="center"/>
    </xf>
    <xf numFmtId="164" fontId="2" fillId="2" borderId="0" xfId="0" applyNumberFormat="1" applyFont="1" applyFill="1"/>
    <xf numFmtId="164" fontId="2" fillId="2" borderId="2" xfId="0" applyNumberFormat="1" applyFont="1" applyFill="1" applyBorder="1"/>
    <xf numFmtId="164" fontId="2" fillId="2" borderId="5" xfId="0" applyNumberFormat="1" applyFont="1" applyFill="1" applyBorder="1"/>
    <xf numFmtId="164" fontId="2" fillId="2" borderId="1" xfId="0" applyNumberFormat="1" applyFont="1" applyFill="1" applyBorder="1"/>
    <xf numFmtId="164" fontId="1" fillId="2" borderId="6" xfId="0" applyNumberFormat="1" applyFont="1" applyFill="1" applyBorder="1"/>
    <xf numFmtId="49" fontId="1" fillId="11" borderId="0" xfId="0" applyNumberFormat="1" applyFont="1" applyFill="1" applyAlignment="1">
      <alignment horizontal="center"/>
    </xf>
    <xf numFmtId="38" fontId="2" fillId="4" borderId="0" xfId="0" applyNumberFormat="1" applyFont="1" applyFill="1"/>
    <xf numFmtId="38" fontId="2" fillId="0" borderId="0" xfId="0" applyNumberFormat="1" applyFont="1"/>
    <xf numFmtId="38" fontId="2" fillId="4" borderId="0" xfId="0" applyNumberFormat="1" applyFont="1" applyFill="1" applyBorder="1"/>
    <xf numFmtId="38" fontId="2" fillId="4" borderId="1" xfId="0" applyNumberFormat="1" applyFont="1" applyFill="1" applyBorder="1"/>
    <xf numFmtId="38" fontId="2" fillId="7" borderId="1" xfId="0" applyNumberFormat="1" applyFont="1" applyFill="1" applyBorder="1"/>
    <xf numFmtId="38" fontId="2" fillId="0" borderId="0" xfId="0" applyNumberFormat="1" applyFont="1" applyFill="1"/>
    <xf numFmtId="38" fontId="2" fillId="7" borderId="5" xfId="0" applyNumberFormat="1" applyFont="1" applyFill="1" applyBorder="1"/>
    <xf numFmtId="38" fontId="1" fillId="5" borderId="6" xfId="0" applyNumberFormat="1" applyFont="1" applyFill="1" applyBorder="1"/>
    <xf numFmtId="38" fontId="0" fillId="2" borderId="0" xfId="0" applyNumberFormat="1" applyFont="1" applyFill="1"/>
    <xf numFmtId="49" fontId="4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12" borderId="0" xfId="0" applyFill="1" applyAlignment="1">
      <alignment horizontal="center"/>
    </xf>
    <xf numFmtId="49" fontId="1" fillId="12" borderId="0" xfId="0" applyNumberFormat="1" applyFont="1" applyFill="1" applyBorder="1" applyAlignment="1">
      <alignment horizontal="center"/>
    </xf>
    <xf numFmtId="49" fontId="1" fillId="12" borderId="0" xfId="0" applyNumberFormat="1" applyFont="1" applyFill="1"/>
    <xf numFmtId="49" fontId="1" fillId="12" borderId="0" xfId="0" applyNumberFormat="1" applyFont="1" applyFill="1" applyBorder="1"/>
    <xf numFmtId="49" fontId="0" fillId="12" borderId="0" xfId="0" applyNumberFormat="1" applyFill="1" applyBorder="1" applyAlignment="1">
      <alignment horizontal="centerContinuous"/>
    </xf>
    <xf numFmtId="164" fontId="2" fillId="2" borderId="0" xfId="0" applyNumberFormat="1" applyFont="1" applyFill="1" applyBorder="1"/>
    <xf numFmtId="164" fontId="1" fillId="2" borderId="0" xfId="0" applyNumberFormat="1" applyFont="1" applyFill="1" applyBorder="1"/>
    <xf numFmtId="49" fontId="1" fillId="12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49" fontId="0" fillId="12" borderId="0" xfId="0" applyNumberFormat="1" applyFill="1" applyBorder="1" applyAlignment="1">
      <alignment horizontal="center"/>
    </xf>
    <xf numFmtId="49" fontId="1" fillId="8" borderId="0" xfId="0" applyNumberFormat="1" applyFont="1" applyFill="1" applyBorder="1" applyAlignment="1">
      <alignment horizontal="left"/>
    </xf>
    <xf numFmtId="0" fontId="0" fillId="8" borderId="0" xfId="0" applyFill="1" applyAlignment="1">
      <alignment horizontal="center"/>
    </xf>
    <xf numFmtId="49" fontId="1" fillId="9" borderId="0" xfId="0" applyNumberFormat="1" applyFont="1" applyFill="1" applyBorder="1" applyAlignment="1">
      <alignment horizontal="left"/>
    </xf>
    <xf numFmtId="0" fontId="0" fillId="9" borderId="0" xfId="0" applyFill="1" applyAlignment="1">
      <alignment horizontal="center"/>
    </xf>
    <xf numFmtId="3" fontId="2" fillId="14" borderId="0" xfId="0" applyNumberFormat="1" applyFont="1" applyFill="1"/>
    <xf numFmtId="3" fontId="2" fillId="14" borderId="1" xfId="0" applyNumberFormat="1" applyFont="1" applyFill="1" applyBorder="1"/>
    <xf numFmtId="3" fontId="2" fillId="15" borderId="0" xfId="0" applyNumberFormat="1" applyFont="1" applyFill="1"/>
    <xf numFmtId="3" fontId="2" fillId="15" borderId="0" xfId="0" applyNumberFormat="1" applyFont="1" applyFill="1" applyBorder="1"/>
    <xf numFmtId="3" fontId="2" fillId="15" borderId="1" xfId="0" applyNumberFormat="1" applyFont="1" applyFill="1" applyBorder="1"/>
    <xf numFmtId="49" fontId="1" fillId="15" borderId="0" xfId="0" applyNumberFormat="1" applyFont="1" applyFill="1" applyBorder="1" applyAlignment="1">
      <alignment horizontal="left"/>
    </xf>
    <xf numFmtId="0" fontId="0" fillId="15" borderId="0" xfId="0" applyFill="1" applyAlignment="1">
      <alignment horizontal="center"/>
    </xf>
    <xf numFmtId="49" fontId="1" fillId="9" borderId="0" xfId="0" applyNumberFormat="1" applyFont="1" applyFill="1" applyBorder="1" applyAlignment="1">
      <alignment horizontal="center"/>
    </xf>
    <xf numFmtId="3" fontId="2" fillId="13" borderId="1" xfId="0" applyNumberFormat="1" applyFont="1" applyFill="1" applyBorder="1"/>
    <xf numFmtId="3" fontId="2" fillId="13" borderId="0" xfId="0" applyNumberFormat="1" applyFont="1" applyFill="1" applyBorder="1"/>
    <xf numFmtId="38" fontId="7" fillId="10" borderId="0" xfId="0" applyNumberFormat="1" applyFont="1" applyFill="1"/>
    <xf numFmtId="38" fontId="7" fillId="10" borderId="1" xfId="0" applyNumberFormat="1" applyFont="1" applyFill="1" applyBorder="1"/>
    <xf numFmtId="3" fontId="2" fillId="9" borderId="0" xfId="0" applyNumberFormat="1" applyFont="1" applyFill="1" applyBorder="1"/>
    <xf numFmtId="49" fontId="11" fillId="0" borderId="0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38" fontId="2" fillId="4" borderId="2" xfId="0" applyNumberFormat="1" applyFont="1" applyFill="1" applyBorder="1"/>
    <xf numFmtId="38" fontId="2" fillId="5" borderId="5" xfId="0" applyNumberFormat="1" applyFont="1" applyFill="1" applyBorder="1"/>
    <xf numFmtId="38" fontId="7" fillId="8" borderId="0" xfId="0" applyNumberFormat="1" applyFont="1" applyFill="1"/>
    <xf numFmtId="38" fontId="7" fillId="5" borderId="5" xfId="0" applyNumberFormat="1" applyFont="1" applyFill="1" applyBorder="1"/>
    <xf numFmtId="38" fontId="7" fillId="0" borderId="0" xfId="0" applyNumberFormat="1" applyFont="1" applyBorder="1"/>
    <xf numFmtId="38" fontId="7" fillId="8" borderId="1" xfId="0" applyNumberFormat="1" applyFont="1" applyFill="1" applyBorder="1"/>
    <xf numFmtId="38" fontId="7" fillId="4" borderId="0" xfId="0" applyNumberFormat="1" applyFont="1" applyFill="1" applyBorder="1"/>
    <xf numFmtId="38" fontId="7" fillId="4" borderId="1" xfId="0" applyNumberFormat="1" applyFont="1" applyFill="1" applyBorder="1"/>
    <xf numFmtId="38" fontId="7" fillId="7" borderId="1" xfId="0" applyNumberFormat="1" applyFont="1" applyFill="1" applyBorder="1"/>
    <xf numFmtId="38" fontId="7" fillId="0" borderId="0" xfId="0" applyNumberFormat="1" applyFont="1" applyFill="1" applyBorder="1"/>
    <xf numFmtId="38" fontId="7" fillId="3" borderId="1" xfId="0" applyNumberFormat="1" applyFont="1" applyFill="1" applyBorder="1"/>
    <xf numFmtId="38" fontId="7" fillId="5" borderId="6" xfId="0" applyNumberFormat="1" applyFont="1" applyFill="1" applyBorder="1"/>
    <xf numFmtId="38" fontId="0" fillId="2" borderId="0" xfId="0" applyNumberFormat="1" applyFont="1" applyFill="1" applyBorder="1"/>
    <xf numFmtId="3" fontId="8" fillId="0" borderId="0" xfId="0" applyNumberFormat="1" applyFont="1" applyFill="1" applyBorder="1"/>
    <xf numFmtId="3" fontId="0" fillId="0" borderId="0" xfId="0" applyNumberFormat="1" applyBorder="1"/>
    <xf numFmtId="3" fontId="0" fillId="0" borderId="0" xfId="0" applyNumberFormat="1" applyFill="1" applyBorder="1"/>
    <xf numFmtId="49" fontId="20" fillId="0" borderId="0" xfId="0" applyNumberFormat="1" applyFont="1"/>
    <xf numFmtId="49" fontId="21" fillId="0" borderId="0" xfId="0" applyNumberFormat="1" applyFont="1" applyBorder="1"/>
    <xf numFmtId="9" fontId="1" fillId="0" borderId="0" xfId="0" applyNumberFormat="1" applyFont="1" applyBorder="1"/>
    <xf numFmtId="49" fontId="22" fillId="0" borderId="0" xfId="0" applyNumberFormat="1" applyFont="1"/>
    <xf numFmtId="4" fontId="2" fillId="8" borderId="0" xfId="0" applyNumberFormat="1" applyFont="1" applyFill="1"/>
    <xf numFmtId="49" fontId="11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164" fontId="2" fillId="0" borderId="0" xfId="0" quotePrefix="1" applyNumberFormat="1" applyFont="1" applyFill="1" applyBorder="1" applyAlignment="1">
      <alignment horizontal="right"/>
    </xf>
    <xf numFmtId="164" fontId="27" fillId="0" borderId="0" xfId="0" quotePrefix="1" applyNumberFormat="1" applyFont="1" applyFill="1" applyBorder="1" applyAlignment="1">
      <alignment horizontal="right"/>
    </xf>
    <xf numFmtId="165" fontId="0" fillId="0" borderId="0" xfId="1" applyNumberFormat="1" applyFont="1"/>
    <xf numFmtId="165" fontId="0" fillId="0" borderId="8" xfId="1" applyNumberFormat="1" applyFont="1" applyBorder="1"/>
    <xf numFmtId="0" fontId="25" fillId="0" borderId="0" xfId="0" applyFont="1"/>
    <xf numFmtId="166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  <xf numFmtId="3" fontId="0" fillId="0" borderId="9" xfId="0" applyNumberFormat="1" applyBorder="1"/>
    <xf numFmtId="4" fontId="0" fillId="0" borderId="0" xfId="0" applyNumberFormat="1"/>
    <xf numFmtId="3" fontId="0" fillId="16" borderId="3" xfId="0" applyNumberFormat="1" applyFill="1" applyBorder="1"/>
    <xf numFmtId="3" fontId="0" fillId="16" borderId="0" xfId="0" applyNumberFormat="1" applyFill="1"/>
    <xf numFmtId="3" fontId="4" fillId="16" borderId="0" xfId="0" applyNumberFormat="1" applyFont="1" applyFill="1"/>
    <xf numFmtId="3" fontId="0" fillId="3" borderId="0" xfId="0" applyNumberFormat="1" applyFill="1" applyBorder="1"/>
    <xf numFmtId="3" fontId="0" fillId="3" borderId="0" xfId="0" applyNumberFormat="1" applyFill="1"/>
    <xf numFmtId="3" fontId="4" fillId="3" borderId="0" xfId="0" applyNumberFormat="1" applyFont="1" applyFill="1"/>
    <xf numFmtId="166" fontId="28" fillId="0" borderId="0" xfId="0" applyNumberFormat="1" applyFont="1" applyFill="1" applyAlignment="1">
      <alignment horizontal="center"/>
    </xf>
    <xf numFmtId="3" fontId="29" fillId="0" borderId="0" xfId="0" applyNumberFormat="1" applyFont="1"/>
    <xf numFmtId="3" fontId="25" fillId="4" borderId="0" xfId="0" applyNumberFormat="1" applyFont="1" applyFill="1" applyBorder="1"/>
    <xf numFmtId="3" fontId="0" fillId="4" borderId="0" xfId="0" applyNumberFormat="1" applyFill="1"/>
    <xf numFmtId="3" fontId="0" fillId="4" borderId="3" xfId="0" applyNumberFormat="1" applyFill="1" applyBorder="1"/>
    <xf numFmtId="3" fontId="0" fillId="4" borderId="0" xfId="0" applyNumberFormat="1" applyFill="1" applyBorder="1"/>
    <xf numFmtId="3" fontId="4" fillId="4" borderId="0" xfId="0" applyNumberFormat="1" applyFont="1" applyFill="1"/>
    <xf numFmtId="167" fontId="0" fillId="0" borderId="0" xfId="0" applyNumberFormat="1"/>
    <xf numFmtId="3" fontId="0" fillId="0" borderId="0" xfId="0" applyNumberFormat="1" applyFill="1"/>
    <xf numFmtId="168" fontId="0" fillId="0" borderId="0" xfId="0" applyNumberFormat="1"/>
    <xf numFmtId="3" fontId="25" fillId="17" borderId="0" xfId="0" applyNumberFormat="1" applyFont="1" applyFill="1" applyBorder="1"/>
    <xf numFmtId="3" fontId="0" fillId="17" borderId="0" xfId="0" applyNumberFormat="1" applyFill="1"/>
    <xf numFmtId="3" fontId="26" fillId="17" borderId="3" xfId="0" applyNumberFormat="1" applyFont="1" applyFill="1" applyBorder="1"/>
    <xf numFmtId="3" fontId="0" fillId="17" borderId="0" xfId="0" applyNumberFormat="1" applyFill="1" applyBorder="1"/>
    <xf numFmtId="3" fontId="4" fillId="17" borderId="0" xfId="0" applyNumberFormat="1" applyFont="1" applyFill="1"/>
    <xf numFmtId="3" fontId="25" fillId="18" borderId="0" xfId="0" applyNumberFormat="1" applyFont="1" applyFill="1" applyBorder="1"/>
    <xf numFmtId="3" fontId="0" fillId="18" borderId="0" xfId="0" applyNumberFormat="1" applyFill="1"/>
    <xf numFmtId="3" fontId="0" fillId="18" borderId="3" xfId="0" applyNumberFormat="1" applyFill="1" applyBorder="1"/>
    <xf numFmtId="3" fontId="0" fillId="18" borderId="0" xfId="0" applyNumberFormat="1" applyFill="1" applyBorder="1"/>
    <xf numFmtId="3" fontId="30" fillId="18" borderId="0" xfId="0" applyNumberFormat="1" applyFont="1" applyFill="1"/>
    <xf numFmtId="3" fontId="25" fillId="19" borderId="0" xfId="0" applyNumberFormat="1" applyFont="1" applyFill="1" applyBorder="1" applyAlignment="1">
      <alignment horizontal="center"/>
    </xf>
    <xf numFmtId="3" fontId="25" fillId="19" borderId="0" xfId="0" applyNumberFormat="1" applyFont="1" applyFill="1" applyBorder="1"/>
    <xf numFmtId="3" fontId="0" fillId="19" borderId="0" xfId="0" applyNumberFormat="1" applyFill="1"/>
    <xf numFmtId="3" fontId="0" fillId="19" borderId="3" xfId="0" applyNumberFormat="1" applyFill="1" applyBorder="1"/>
    <xf numFmtId="3" fontId="0" fillId="19" borderId="0" xfId="0" applyNumberFormat="1" applyFill="1" applyBorder="1"/>
    <xf numFmtId="3" fontId="24" fillId="19" borderId="0" xfId="0" applyNumberFormat="1" applyFont="1" applyFill="1"/>
    <xf numFmtId="3" fontId="4" fillId="19" borderId="0" xfId="0" applyNumberFormat="1" applyFont="1" applyFill="1"/>
    <xf numFmtId="3" fontId="25" fillId="0" borderId="0" xfId="0" applyNumberFormat="1" applyFont="1" applyFill="1" applyBorder="1"/>
    <xf numFmtId="3" fontId="0" fillId="20" borderId="0" xfId="0" applyNumberFormat="1" applyFill="1"/>
    <xf numFmtId="0" fontId="29" fillId="0" borderId="0" xfId="0" applyFont="1"/>
    <xf numFmtId="3" fontId="30" fillId="9" borderId="0" xfId="0" applyNumberFormat="1" applyFont="1" applyFill="1" applyBorder="1"/>
    <xf numFmtId="3" fontId="0" fillId="9" borderId="0" xfId="0" applyNumberFormat="1" applyFill="1" applyBorder="1"/>
    <xf numFmtId="3" fontId="0" fillId="9" borderId="0" xfId="0" applyNumberFormat="1" applyFill="1"/>
    <xf numFmtId="3" fontId="0" fillId="9" borderId="0" xfId="0" applyNumberFormat="1" applyFill="1" applyAlignment="1">
      <alignment horizontal="right"/>
    </xf>
    <xf numFmtId="3" fontId="4" fillId="9" borderId="0" xfId="0" applyNumberFormat="1" applyFont="1" applyFill="1"/>
    <xf numFmtId="3" fontId="0" fillId="9" borderId="3" xfId="0" applyNumberFormat="1" applyFill="1" applyBorder="1"/>
    <xf numFmtId="3" fontId="5" fillId="9" borderId="0" xfId="0" applyNumberFormat="1" applyFont="1" applyFill="1"/>
    <xf numFmtId="0" fontId="31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shrinkToFit="1"/>
    </xf>
    <xf numFmtId="9" fontId="0" fillId="0" borderId="3" xfId="0" applyNumberFormat="1" applyBorder="1" applyAlignment="1">
      <alignment horizontal="center"/>
    </xf>
    <xf numFmtId="0" fontId="0" fillId="0" borderId="3" xfId="0" applyBorder="1"/>
    <xf numFmtId="166" fontId="0" fillId="0" borderId="3" xfId="0" applyNumberFormat="1" applyBorder="1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25" fillId="0" borderId="0" xfId="0" applyFont="1" applyAlignment="1">
      <alignment horizontal="center"/>
    </xf>
    <xf numFmtId="0" fontId="32" fillId="0" borderId="3" xfId="0" applyFont="1" applyBorder="1"/>
    <xf numFmtId="49" fontId="1" fillId="0" borderId="0" xfId="0" quotePrefix="1" applyNumberFormat="1" applyFont="1"/>
    <xf numFmtId="39" fontId="1" fillId="0" borderId="0" xfId="0" applyNumberFormat="1" applyFont="1" applyFill="1" applyBorder="1" applyAlignment="1">
      <alignment horizontal="center"/>
    </xf>
    <xf numFmtId="0" fontId="25" fillId="0" borderId="10" xfId="0" applyFont="1" applyBorder="1"/>
    <xf numFmtId="0" fontId="25" fillId="0" borderId="2" xfId="0" applyFont="1" applyBorder="1"/>
    <xf numFmtId="0" fontId="0" fillId="0" borderId="2" xfId="0" applyBorder="1"/>
    <xf numFmtId="0" fontId="0" fillId="0" borderId="11" xfId="0" quotePrefix="1" applyBorder="1"/>
    <xf numFmtId="0" fontId="0" fillId="0" borderId="12" xfId="0" applyBorder="1"/>
    <xf numFmtId="0" fontId="25" fillId="0" borderId="0" xfId="0" applyFont="1" applyBorder="1" applyAlignment="1">
      <alignment horizontal="right"/>
    </xf>
    <xf numFmtId="0" fontId="0" fillId="0" borderId="13" xfId="0" applyBorder="1"/>
    <xf numFmtId="165" fontId="0" fillId="0" borderId="0" xfId="1" applyNumberFormat="1" applyFont="1" applyBorder="1"/>
    <xf numFmtId="0" fontId="0" fillId="0" borderId="13" xfId="0" quotePrefix="1" applyBorder="1"/>
    <xf numFmtId="0" fontId="0" fillId="0" borderId="14" xfId="0" applyBorder="1"/>
    <xf numFmtId="0" fontId="0" fillId="0" borderId="1" xfId="0" applyBorder="1"/>
    <xf numFmtId="165" fontId="0" fillId="0" borderId="1" xfId="1" applyNumberFormat="1" applyFont="1" applyBorder="1"/>
    <xf numFmtId="0" fontId="0" fillId="0" borderId="15" xfId="0" applyBorder="1"/>
    <xf numFmtId="0" fontId="0" fillId="0" borderId="2" xfId="0" quotePrefix="1" applyBorder="1"/>
    <xf numFmtId="0" fontId="0" fillId="0" borderId="11" xfId="0" applyBorder="1"/>
    <xf numFmtId="0" fontId="0" fillId="0" borderId="0" xfId="0" quotePrefix="1" applyBorder="1"/>
    <xf numFmtId="9" fontId="0" fillId="0" borderId="0" xfId="0" quotePrefix="1" applyNumberFormat="1" applyBorder="1" applyAlignment="1">
      <alignment horizontal="left"/>
    </xf>
    <xf numFmtId="38" fontId="25" fillId="0" borderId="0" xfId="1" applyNumberFormat="1" applyFont="1" applyBorder="1"/>
    <xf numFmtId="0" fontId="0" fillId="0" borderId="12" xfId="0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CF7D0"/>
      <color rgb="FFFCE0C4"/>
      <color rgb="FFFCDBBA"/>
      <color rgb="FFFCD5A2"/>
      <color rgb="FFCFE3BD"/>
      <color rgb="FFFBE0C9"/>
      <color rgb="FFC5E789"/>
      <color rgb="FFDCFCD0"/>
      <color rgb="FFCCFFCC"/>
      <color rgb="FFFAD3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00" cy="228600"/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14400" cy="228600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0</xdr:row>
      <xdr:rowOff>0</xdr:rowOff>
    </xdr:from>
    <xdr:ext cx="914400" cy="228600"/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914400" cy="228600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0</xdr:row>
      <xdr:rowOff>0</xdr:rowOff>
    </xdr:from>
    <xdr:ext cx="914400" cy="228600"/>
    <xdr:pic>
      <xdr:nvPicPr>
        <xdr:cNvPr id="4" name="FILTER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914400" cy="228600"/>
    <xdr:pic>
      <xdr:nvPicPr>
        <xdr:cNvPr id="5" name="HEADER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571500</xdr:colOff>
      <xdr:row>1</xdr:row>
      <xdr:rowOff>76200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571500</xdr:colOff>
      <xdr:row>1</xdr:row>
      <xdr:rowOff>76200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571500</xdr:colOff>
      <xdr:row>1</xdr:row>
      <xdr:rowOff>76200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571500</xdr:colOff>
      <xdr:row>1</xdr:row>
      <xdr:rowOff>76200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I11" sqref="I11"/>
    </sheetView>
  </sheetViews>
  <sheetFormatPr defaultRowHeight="15" x14ac:dyDescent="0.25"/>
  <cols>
    <col min="1" max="1" width="20.28515625" bestFit="1" customWidth="1"/>
    <col min="2" max="2" width="1.5703125" bestFit="1" customWidth="1"/>
    <col min="3" max="3" width="11" customWidth="1"/>
    <col min="4" max="4" width="11.5703125" customWidth="1"/>
    <col min="5" max="5" width="10.85546875" customWidth="1"/>
    <col min="6" max="6" width="1.5703125" bestFit="1" customWidth="1"/>
    <col min="7" max="7" width="44" bestFit="1" customWidth="1"/>
    <col min="8" max="8" width="12.5703125" bestFit="1" customWidth="1"/>
  </cols>
  <sheetData>
    <row r="1" spans="1:8" x14ac:dyDescent="0.25">
      <c r="A1" s="228" t="s">
        <v>275</v>
      </c>
      <c r="B1" s="229"/>
      <c r="C1" s="230"/>
      <c r="D1" s="230"/>
      <c r="E1" s="230"/>
      <c r="F1" s="230"/>
      <c r="G1" s="231" t="s">
        <v>207</v>
      </c>
      <c r="H1" s="246" t="s">
        <v>280</v>
      </c>
    </row>
    <row r="2" spans="1:8" x14ac:dyDescent="0.25">
      <c r="A2" s="232"/>
      <c r="B2" s="16" t="s">
        <v>279</v>
      </c>
      <c r="C2" s="233">
        <v>2022</v>
      </c>
      <c r="D2" s="233">
        <v>2022</v>
      </c>
      <c r="E2" s="233">
        <v>2023</v>
      </c>
      <c r="F2" s="16" t="s">
        <v>279</v>
      </c>
      <c r="G2" s="234"/>
      <c r="H2" s="246"/>
    </row>
    <row r="3" spans="1:8" x14ac:dyDescent="0.25">
      <c r="A3" s="232"/>
      <c r="B3" s="16"/>
      <c r="C3" s="233" t="s">
        <v>128</v>
      </c>
      <c r="D3" s="233" t="s">
        <v>134</v>
      </c>
      <c r="E3" s="233" t="s">
        <v>128</v>
      </c>
      <c r="F3" s="16"/>
      <c r="G3" s="234"/>
      <c r="H3" s="246"/>
    </row>
    <row r="4" spans="1:8" x14ac:dyDescent="0.25">
      <c r="A4" s="232"/>
      <c r="B4" s="16"/>
      <c r="C4" s="16"/>
      <c r="D4" s="16"/>
      <c r="E4" s="16"/>
      <c r="F4" s="16"/>
      <c r="G4" s="234"/>
      <c r="H4" s="246"/>
    </row>
    <row r="5" spans="1:8" x14ac:dyDescent="0.25">
      <c r="A5" s="232" t="s">
        <v>206</v>
      </c>
      <c r="B5" s="16"/>
      <c r="C5" s="235">
        <v>813000</v>
      </c>
      <c r="D5" s="235">
        <v>736000</v>
      </c>
      <c r="E5" s="235">
        <v>789000</v>
      </c>
      <c r="F5" s="16"/>
      <c r="G5" s="236" t="s">
        <v>205</v>
      </c>
      <c r="H5" s="246"/>
    </row>
    <row r="6" spans="1:8" x14ac:dyDescent="0.25">
      <c r="A6" s="232" t="s">
        <v>204</v>
      </c>
      <c r="B6" s="16"/>
      <c r="C6" s="235">
        <v>40000</v>
      </c>
      <c r="D6" s="235">
        <v>37000</v>
      </c>
      <c r="E6" s="235">
        <v>38000</v>
      </c>
      <c r="F6" s="16"/>
      <c r="G6" s="234"/>
      <c r="H6" s="246"/>
    </row>
    <row r="7" spans="1:8" x14ac:dyDescent="0.25">
      <c r="A7" s="232" t="s">
        <v>8</v>
      </c>
      <c r="B7" s="16"/>
      <c r="C7" s="163">
        <f>SUM(C5:C6)</f>
        <v>853000</v>
      </c>
      <c r="D7" s="163">
        <f>SUM(D5:D6)</f>
        <v>773000</v>
      </c>
      <c r="E7" s="163">
        <f>SUM(E5:E6)</f>
        <v>827000</v>
      </c>
      <c r="F7" s="16"/>
      <c r="G7" s="234"/>
      <c r="H7" s="246"/>
    </row>
    <row r="8" spans="1:8" x14ac:dyDescent="0.25">
      <c r="A8" s="232"/>
      <c r="B8" s="16"/>
      <c r="C8" s="235"/>
      <c r="D8" s="235"/>
      <c r="E8" s="235"/>
      <c r="F8" s="16"/>
      <c r="G8" s="234"/>
      <c r="H8" s="246"/>
    </row>
    <row r="9" spans="1:8" x14ac:dyDescent="0.25">
      <c r="A9" s="232" t="s">
        <v>215</v>
      </c>
      <c r="B9" s="16"/>
      <c r="C9" s="235">
        <v>509000</v>
      </c>
      <c r="D9" s="235">
        <f>448000+5000</f>
        <v>453000</v>
      </c>
      <c r="E9" s="235">
        <v>465000</v>
      </c>
      <c r="F9" s="16"/>
      <c r="G9" s="236" t="s">
        <v>214</v>
      </c>
      <c r="H9" s="246"/>
    </row>
    <row r="10" spans="1:8" x14ac:dyDescent="0.25">
      <c r="A10" s="232" t="s">
        <v>213</v>
      </c>
      <c r="B10" s="16"/>
      <c r="C10" s="235">
        <f>75000+6000+8000+72000</f>
        <v>161000</v>
      </c>
      <c r="D10" s="235">
        <f>65000+3000+11000+71000</f>
        <v>150000</v>
      </c>
      <c r="E10" s="235">
        <f>73000+5000+11000+72000</f>
        <v>161000</v>
      </c>
      <c r="F10" s="16"/>
      <c r="G10" s="236" t="s">
        <v>212</v>
      </c>
      <c r="H10" s="246"/>
    </row>
    <row r="11" spans="1:8" x14ac:dyDescent="0.25">
      <c r="A11" s="232" t="s">
        <v>211</v>
      </c>
      <c r="B11" s="16"/>
      <c r="C11" s="235">
        <f>222000-C12</f>
        <v>66000</v>
      </c>
      <c r="D11" s="235">
        <f>186000-D12</f>
        <v>31000</v>
      </c>
      <c r="E11" s="235">
        <f>201000-E12</f>
        <v>55000</v>
      </c>
      <c r="F11" s="16"/>
      <c r="G11" s="236" t="s">
        <v>210</v>
      </c>
      <c r="H11" s="246"/>
    </row>
    <row r="12" spans="1:8" x14ac:dyDescent="0.25">
      <c r="A12" s="232" t="s">
        <v>209</v>
      </c>
      <c r="B12" s="16"/>
      <c r="C12" s="235">
        <v>156000</v>
      </c>
      <c r="D12" s="235">
        <v>155000</v>
      </c>
      <c r="E12" s="235">
        <v>146000</v>
      </c>
      <c r="F12" s="16"/>
      <c r="G12" s="234" t="s">
        <v>208</v>
      </c>
      <c r="H12" s="246"/>
    </row>
    <row r="13" spans="1:8" x14ac:dyDescent="0.25">
      <c r="A13" s="232" t="s">
        <v>189</v>
      </c>
      <c r="B13" s="16"/>
      <c r="C13" s="163">
        <f>SUM(C9:C12)</f>
        <v>892000</v>
      </c>
      <c r="D13" s="163">
        <f>SUM(D9:D12)</f>
        <v>789000</v>
      </c>
      <c r="E13" s="163">
        <f>SUM(E9:E12)</f>
        <v>827000</v>
      </c>
      <c r="F13" s="16"/>
      <c r="G13" s="234"/>
      <c r="H13" s="246"/>
    </row>
    <row r="14" spans="1:8" x14ac:dyDescent="0.25">
      <c r="A14" s="232"/>
      <c r="B14" s="16"/>
      <c r="C14" s="235"/>
      <c r="D14" s="235"/>
      <c r="E14" s="235"/>
      <c r="F14" s="16"/>
      <c r="G14" s="234"/>
      <c r="H14" s="246"/>
    </row>
    <row r="15" spans="1:8" x14ac:dyDescent="0.25">
      <c r="A15" s="232" t="s">
        <v>188</v>
      </c>
      <c r="B15" s="16"/>
      <c r="C15" s="245">
        <f>+C7-C13</f>
        <v>-39000</v>
      </c>
      <c r="D15" s="245">
        <f>+D7-D13</f>
        <v>-16000</v>
      </c>
      <c r="E15" s="235">
        <f>+E7-E13</f>
        <v>0</v>
      </c>
      <c r="F15" s="16"/>
      <c r="G15" s="234"/>
      <c r="H15" s="246"/>
    </row>
    <row r="16" spans="1:8" ht="15.75" thickBot="1" x14ac:dyDescent="0.3">
      <c r="A16" s="237"/>
      <c r="B16" s="238"/>
      <c r="C16" s="239"/>
      <c r="D16" s="239"/>
      <c r="E16" s="239"/>
      <c r="F16" s="238"/>
      <c r="G16" s="240"/>
      <c r="H16" s="246"/>
    </row>
    <row r="17" spans="1:8" x14ac:dyDescent="0.25">
      <c r="C17" s="162"/>
      <c r="D17" s="162"/>
      <c r="E17" s="162"/>
    </row>
    <row r="19" spans="1:8" ht="15.75" thickBot="1" x14ac:dyDescent="0.3"/>
    <row r="20" spans="1:8" x14ac:dyDescent="0.25">
      <c r="A20" s="228" t="s">
        <v>275</v>
      </c>
      <c r="B20" s="229"/>
      <c r="C20" s="230"/>
      <c r="D20" s="230"/>
      <c r="E20" s="230"/>
      <c r="F20" s="230"/>
      <c r="G20" s="241" t="s">
        <v>207</v>
      </c>
      <c r="H20" s="242"/>
    </row>
    <row r="21" spans="1:8" x14ac:dyDescent="0.25">
      <c r="A21" s="232"/>
      <c r="B21" s="16"/>
      <c r="C21" s="233">
        <v>2022</v>
      </c>
      <c r="D21" s="233">
        <v>2022</v>
      </c>
      <c r="E21" s="233">
        <v>2023</v>
      </c>
      <c r="F21" s="16"/>
      <c r="G21" s="16"/>
      <c r="H21" s="234"/>
    </row>
    <row r="22" spans="1:8" x14ac:dyDescent="0.25">
      <c r="A22" s="232"/>
      <c r="B22" s="16"/>
      <c r="C22" s="233" t="s">
        <v>128</v>
      </c>
      <c r="D22" s="233" t="s">
        <v>134</v>
      </c>
      <c r="E22" s="233" t="s">
        <v>128</v>
      </c>
      <c r="F22" s="16"/>
      <c r="G22" s="16"/>
      <c r="H22" s="234"/>
    </row>
    <row r="23" spans="1:8" x14ac:dyDescent="0.25">
      <c r="A23" s="232"/>
      <c r="B23" s="16"/>
      <c r="C23" s="16"/>
      <c r="D23" s="16"/>
      <c r="E23" s="16"/>
      <c r="F23" s="16"/>
      <c r="G23" s="16"/>
      <c r="H23" s="234"/>
    </row>
    <row r="24" spans="1:8" x14ac:dyDescent="0.25">
      <c r="A24" s="232" t="s">
        <v>206</v>
      </c>
      <c r="B24" s="16"/>
      <c r="C24" s="235">
        <v>813000</v>
      </c>
      <c r="D24" s="235">
        <v>736000</v>
      </c>
      <c r="E24" s="235">
        <v>789000</v>
      </c>
      <c r="F24" s="16"/>
      <c r="G24" s="243" t="s">
        <v>205</v>
      </c>
      <c r="H24" s="234"/>
    </row>
    <row r="25" spans="1:8" x14ac:dyDescent="0.25">
      <c r="A25" s="232" t="s">
        <v>204</v>
      </c>
      <c r="B25" s="16"/>
      <c r="C25" s="235">
        <v>40000</v>
      </c>
      <c r="D25" s="235">
        <v>37000</v>
      </c>
      <c r="E25" s="235">
        <v>38000</v>
      </c>
      <c r="F25" s="16"/>
      <c r="G25" s="16"/>
      <c r="H25" s="234"/>
    </row>
    <row r="26" spans="1:8" x14ac:dyDescent="0.25">
      <c r="A26" s="232" t="s">
        <v>8</v>
      </c>
      <c r="B26" s="16"/>
      <c r="C26" s="163">
        <f>SUM(C24:C25)</f>
        <v>853000</v>
      </c>
      <c r="D26" s="163">
        <f>SUM(D24:D25)</f>
        <v>773000</v>
      </c>
      <c r="E26" s="163">
        <f>SUM(E24:E25)</f>
        <v>827000</v>
      </c>
      <c r="F26" s="16"/>
      <c r="G26" s="16"/>
      <c r="H26" s="234"/>
    </row>
    <row r="27" spans="1:8" x14ac:dyDescent="0.25">
      <c r="A27" s="232"/>
      <c r="B27" s="16"/>
      <c r="C27" s="235"/>
      <c r="D27" s="235"/>
      <c r="E27" s="235"/>
      <c r="F27" s="16"/>
      <c r="G27" s="16"/>
      <c r="H27" s="234"/>
    </row>
    <row r="28" spans="1:8" x14ac:dyDescent="0.25">
      <c r="A28" s="232" t="s">
        <v>203</v>
      </c>
      <c r="B28" s="16"/>
      <c r="C28" s="235">
        <f>2000+15000+6000+17000+(28000+131000+85000)</f>
        <v>284000</v>
      </c>
      <c r="D28" s="235">
        <f>2000+8000+4000+5000+(28000+131000+85000)</f>
        <v>263000</v>
      </c>
      <c r="E28" s="235">
        <f>1000+15000+6000+10000+(134000+87000)</f>
        <v>253000</v>
      </c>
      <c r="F28" s="16"/>
      <c r="G28" s="16" t="s">
        <v>202</v>
      </c>
      <c r="H28" s="236" t="s">
        <v>191</v>
      </c>
    </row>
    <row r="29" spans="1:8" x14ac:dyDescent="0.25">
      <c r="A29" s="232" t="s">
        <v>201</v>
      </c>
      <c r="B29" s="16"/>
      <c r="C29" s="235">
        <f>8000+(43000+3000)</f>
        <v>54000</v>
      </c>
      <c r="D29" s="235">
        <f>4000+(3000+26000)</f>
        <v>33000</v>
      </c>
      <c r="E29" s="235">
        <f>8000+54000</f>
        <v>62000</v>
      </c>
      <c r="F29" s="16"/>
      <c r="G29" s="16" t="s">
        <v>200</v>
      </c>
      <c r="H29" s="234"/>
    </row>
    <row r="30" spans="1:8" x14ac:dyDescent="0.25">
      <c r="A30" s="232" t="s">
        <v>199</v>
      </c>
      <c r="B30" s="16"/>
      <c r="C30" s="235">
        <f>5000+14000+(54000+10000)</f>
        <v>83000</v>
      </c>
      <c r="D30" s="235">
        <f>8000+(13000+12000)</f>
        <v>33000</v>
      </c>
      <c r="E30" s="235">
        <f>1000+13000+(51000+6000)</f>
        <v>71000</v>
      </c>
      <c r="F30" s="16"/>
      <c r="G30" s="16" t="s">
        <v>198</v>
      </c>
      <c r="H30" s="234"/>
    </row>
    <row r="31" spans="1:8" x14ac:dyDescent="0.25">
      <c r="A31" s="232" t="s">
        <v>197</v>
      </c>
      <c r="B31" s="16"/>
      <c r="C31" s="235">
        <f>38000+61000+4000+14000</f>
        <v>117000</v>
      </c>
      <c r="D31" s="235">
        <f>38000+61000+4000+14000</f>
        <v>117000</v>
      </c>
      <c r="E31" s="235">
        <f>36000+58000+4000+13000</f>
        <v>111000</v>
      </c>
      <c r="F31" s="16"/>
      <c r="G31" s="244" t="s">
        <v>196</v>
      </c>
      <c r="H31" s="234"/>
    </row>
    <row r="32" spans="1:8" x14ac:dyDescent="0.25">
      <c r="A32" s="232" t="s">
        <v>195</v>
      </c>
      <c r="B32" s="16"/>
      <c r="C32" s="235">
        <f>9000+4000+15000+8000+3000</f>
        <v>39000</v>
      </c>
      <c r="D32" s="235">
        <f>9000+3000+15000+8000+3000</f>
        <v>38000</v>
      </c>
      <c r="E32" s="235">
        <f>9000+15000+9000+2000</f>
        <v>35000</v>
      </c>
      <c r="F32" s="16"/>
      <c r="G32" s="16" t="s">
        <v>194</v>
      </c>
      <c r="H32" s="234"/>
    </row>
    <row r="33" spans="1:8" x14ac:dyDescent="0.25">
      <c r="A33" s="232" t="s">
        <v>193</v>
      </c>
      <c r="B33" s="16"/>
      <c r="C33" s="235">
        <f>75000+6000+8000+(27000+82000+24000+15000+6000)</f>
        <v>243000</v>
      </c>
      <c r="D33" s="235">
        <f>65000+3000+11000+(27000+82000+24000+15000+6000)</f>
        <v>233000</v>
      </c>
      <c r="E33" s="235">
        <f>73000+5000+11000+(84000+25000+20000+5000)</f>
        <v>223000</v>
      </c>
      <c r="F33" s="16"/>
      <c r="G33" s="16" t="s">
        <v>192</v>
      </c>
      <c r="H33" s="236" t="s">
        <v>191</v>
      </c>
    </row>
    <row r="34" spans="1:8" x14ac:dyDescent="0.25">
      <c r="A34" s="232" t="s">
        <v>190</v>
      </c>
      <c r="B34" s="16"/>
      <c r="C34" s="235">
        <v>72000</v>
      </c>
      <c r="D34" s="235">
        <v>72000</v>
      </c>
      <c r="E34" s="235">
        <v>72000</v>
      </c>
      <c r="F34" s="16"/>
      <c r="G34" s="16"/>
      <c r="H34" s="234"/>
    </row>
    <row r="35" spans="1:8" x14ac:dyDescent="0.25">
      <c r="A35" s="232" t="s">
        <v>189</v>
      </c>
      <c r="B35" s="16"/>
      <c r="C35" s="163">
        <f>SUM(C28:C34)</f>
        <v>892000</v>
      </c>
      <c r="D35" s="163">
        <f>SUM(D28:D34)</f>
        <v>789000</v>
      </c>
      <c r="E35" s="163">
        <f>SUM(E28:E34)</f>
        <v>827000</v>
      </c>
      <c r="F35" s="16"/>
      <c r="G35" s="16"/>
      <c r="H35" s="234"/>
    </row>
    <row r="36" spans="1:8" x14ac:dyDescent="0.25">
      <c r="A36" s="232"/>
      <c r="B36" s="16"/>
      <c r="C36" s="235"/>
      <c r="D36" s="235"/>
      <c r="E36" s="235"/>
      <c r="F36" s="16"/>
      <c r="G36" s="16"/>
      <c r="H36" s="234"/>
    </row>
    <row r="37" spans="1:8" x14ac:dyDescent="0.25">
      <c r="A37" s="232" t="s">
        <v>188</v>
      </c>
      <c r="B37" s="16"/>
      <c r="C37" s="245">
        <f>+C26-C35</f>
        <v>-39000</v>
      </c>
      <c r="D37" s="245">
        <f>+D26-D35</f>
        <v>-16000</v>
      </c>
      <c r="E37" s="235">
        <f>+E26-E35</f>
        <v>0</v>
      </c>
      <c r="F37" s="16"/>
      <c r="G37" s="16"/>
      <c r="H37" s="234"/>
    </row>
    <row r="38" spans="1:8" ht="15.75" thickBot="1" x14ac:dyDescent="0.3">
      <c r="A38" s="237"/>
      <c r="B38" s="238"/>
      <c r="C38" s="238"/>
      <c r="D38" s="238"/>
      <c r="E38" s="238"/>
      <c r="F38" s="238"/>
      <c r="G38" s="238"/>
      <c r="H38" s="240"/>
    </row>
  </sheetData>
  <mergeCells count="1">
    <mergeCell ref="H1:H16"/>
  </mergeCells>
  <pageMargins left="0.5" right="0.2" top="0.25" bottom="0.2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4"/>
  <sheetViews>
    <sheetView zoomScaleNormal="100" workbookViewId="0">
      <pane xSplit="7" ySplit="4" topLeftCell="H53" activePane="bottomRight" state="frozenSplit"/>
      <selection pane="topRight" activeCell="H1" sqref="H1"/>
      <selection pane="bottomLeft" activeCell="A3" sqref="A3"/>
      <selection pane="bottomRight" activeCell="S62" sqref="S62"/>
    </sheetView>
  </sheetViews>
  <sheetFormatPr defaultRowHeight="15" x14ac:dyDescent="0.25"/>
  <cols>
    <col min="1" max="6" width="0.85546875" style="5" customWidth="1"/>
    <col min="7" max="7" width="30.28515625" style="5" customWidth="1"/>
    <col min="8" max="13" width="9.7109375" style="6" customWidth="1"/>
    <col min="14" max="14" width="9.7109375" customWidth="1"/>
    <col min="15" max="15" width="2.140625" customWidth="1"/>
    <col min="16" max="16" width="1.7109375" customWidth="1"/>
    <col min="17" max="17" width="5.85546875" customWidth="1"/>
  </cols>
  <sheetData>
    <row r="1" spans="1:17" ht="12" customHeight="1" x14ac:dyDescent="0.25">
      <c r="A1" s="1"/>
      <c r="B1" s="1"/>
      <c r="C1" s="1"/>
      <c r="D1" s="1"/>
      <c r="E1" s="1"/>
      <c r="F1" s="1"/>
      <c r="G1" s="226" t="s">
        <v>278</v>
      </c>
      <c r="H1" s="44" t="s">
        <v>130</v>
      </c>
      <c r="I1" s="44" t="s">
        <v>131</v>
      </c>
      <c r="J1" s="44" t="s">
        <v>132</v>
      </c>
      <c r="K1" s="103"/>
      <c r="L1" s="103"/>
      <c r="M1" s="104" t="s">
        <v>133</v>
      </c>
      <c r="N1" s="46" t="s">
        <v>133</v>
      </c>
      <c r="P1" s="35"/>
      <c r="Q1" s="36"/>
    </row>
    <row r="2" spans="1:17" ht="12" customHeight="1" x14ac:dyDescent="0.25">
      <c r="A2" s="1"/>
      <c r="B2" s="1"/>
      <c r="C2" s="1"/>
      <c r="D2" s="1"/>
      <c r="E2" s="1"/>
      <c r="F2" s="1"/>
      <c r="G2" s="1" t="s">
        <v>274</v>
      </c>
      <c r="H2" s="47" t="s">
        <v>144</v>
      </c>
      <c r="I2" s="47" t="s">
        <v>134</v>
      </c>
      <c r="J2" s="48" t="s">
        <v>135</v>
      </c>
      <c r="K2" s="132" t="s">
        <v>136</v>
      </c>
      <c r="L2" s="157" t="s">
        <v>147</v>
      </c>
      <c r="M2" s="55" t="s">
        <v>137</v>
      </c>
      <c r="N2" s="47" t="s">
        <v>137</v>
      </c>
      <c r="P2" s="35"/>
      <c r="Q2" s="36"/>
    </row>
    <row r="3" spans="1:17" ht="12" customHeight="1" x14ac:dyDescent="0.25">
      <c r="A3" s="1"/>
      <c r="B3" s="1"/>
      <c r="C3" s="1"/>
      <c r="D3" s="1"/>
      <c r="E3" s="1"/>
      <c r="F3" s="1"/>
      <c r="G3" s="1"/>
      <c r="H3" s="47" t="s">
        <v>138</v>
      </c>
      <c r="I3" s="47" t="s">
        <v>143</v>
      </c>
      <c r="J3" s="133" t="s">
        <v>134</v>
      </c>
      <c r="K3" s="47" t="s">
        <v>139</v>
      </c>
      <c r="L3" s="158" t="s">
        <v>128</v>
      </c>
      <c r="M3" s="49" t="s">
        <v>157</v>
      </c>
      <c r="N3" s="50" t="s">
        <v>187</v>
      </c>
      <c r="P3" s="35"/>
      <c r="Q3" s="36"/>
    </row>
    <row r="4" spans="1:17" s="4" customFormat="1" ht="12" customHeight="1" thickBot="1" x14ac:dyDescent="0.3">
      <c r="A4" s="3"/>
      <c r="B4" s="3"/>
      <c r="C4" s="3"/>
      <c r="D4" s="3"/>
      <c r="E4" s="3"/>
      <c r="F4" s="3"/>
      <c r="G4" s="3"/>
      <c r="H4" s="51" t="s">
        <v>145</v>
      </c>
      <c r="I4" s="51" t="s">
        <v>146</v>
      </c>
      <c r="J4" s="51" t="s">
        <v>136</v>
      </c>
      <c r="K4" s="134" t="s">
        <v>128</v>
      </c>
      <c r="L4" s="159" t="s">
        <v>158</v>
      </c>
      <c r="M4" s="52" t="s">
        <v>186</v>
      </c>
      <c r="N4" s="52" t="s">
        <v>186</v>
      </c>
      <c r="Q4" s="113"/>
    </row>
    <row r="5" spans="1:17" ht="14.85" customHeight="1" x14ac:dyDescent="0.25">
      <c r="A5" s="1"/>
      <c r="B5" s="1" t="s">
        <v>0</v>
      </c>
      <c r="C5" s="1"/>
      <c r="D5" s="1"/>
      <c r="E5" s="1"/>
      <c r="F5" s="1"/>
      <c r="G5" s="1"/>
      <c r="H5" s="7"/>
      <c r="I5" s="7"/>
      <c r="J5" s="7"/>
      <c r="K5" s="20"/>
      <c r="L5" s="20"/>
      <c r="M5" s="20"/>
      <c r="P5" s="17"/>
      <c r="Q5" s="17"/>
    </row>
    <row r="6" spans="1:17" ht="9.9499999999999993" customHeight="1" x14ac:dyDescent="0.25">
      <c r="A6" s="1"/>
      <c r="B6" s="1"/>
      <c r="C6" s="1"/>
      <c r="D6" s="1"/>
      <c r="E6" s="1"/>
      <c r="F6" s="1"/>
      <c r="G6" s="1"/>
      <c r="H6" s="7"/>
      <c r="I6" s="7"/>
      <c r="J6" s="7"/>
      <c r="K6" s="20"/>
      <c r="L6" s="20"/>
      <c r="M6" s="20"/>
      <c r="P6" s="17"/>
      <c r="Q6" s="17"/>
    </row>
    <row r="7" spans="1:17" ht="14.1" customHeight="1" x14ac:dyDescent="0.25">
      <c r="A7" s="37"/>
      <c r="B7" s="1"/>
      <c r="C7" s="1"/>
      <c r="D7" s="1" t="s">
        <v>1</v>
      </c>
      <c r="E7" s="1"/>
      <c r="F7" s="1"/>
      <c r="G7" s="1"/>
      <c r="H7" s="227"/>
      <c r="I7" s="227"/>
      <c r="J7" s="227"/>
      <c r="K7" s="227"/>
      <c r="L7" s="227"/>
      <c r="M7" s="227"/>
      <c r="N7" s="227"/>
      <c r="P7" s="17"/>
      <c r="Q7" s="17"/>
    </row>
    <row r="8" spans="1:17" ht="14.85" customHeight="1" x14ac:dyDescent="0.25">
      <c r="A8" s="37"/>
      <c r="B8" s="1"/>
      <c r="C8" s="1"/>
      <c r="D8" s="1"/>
      <c r="E8" s="1" t="s">
        <v>2</v>
      </c>
      <c r="F8" s="1"/>
      <c r="G8" s="1"/>
      <c r="H8" s="66"/>
      <c r="I8" s="66"/>
      <c r="J8" s="66"/>
      <c r="K8" s="66"/>
      <c r="M8" s="160" t="s">
        <v>183</v>
      </c>
      <c r="N8" s="161" t="s">
        <v>185</v>
      </c>
      <c r="P8" s="17"/>
      <c r="Q8" s="17"/>
    </row>
    <row r="9" spans="1:17" ht="14.85" customHeight="1" x14ac:dyDescent="0.25">
      <c r="A9" s="37"/>
      <c r="B9" s="1"/>
      <c r="C9" s="1"/>
      <c r="D9" s="1"/>
      <c r="E9" s="1"/>
      <c r="F9" s="1" t="s">
        <v>3</v>
      </c>
      <c r="G9" s="1"/>
      <c r="H9" s="69">
        <v>575157.35</v>
      </c>
      <c r="I9" s="121">
        <f>180224.39-50000+31188</f>
        <v>161412.39000000001</v>
      </c>
      <c r="J9" s="119">
        <f>SUM(H9:I9)</f>
        <v>736569.74</v>
      </c>
      <c r="K9" s="61">
        <v>813000</v>
      </c>
      <c r="L9" s="128">
        <f>L130-(L11+L12+L13)</f>
        <v>789698</v>
      </c>
      <c r="M9" s="129">
        <f>+L9-J9</f>
        <v>53128.260000000009</v>
      </c>
      <c r="N9" s="138">
        <f>+L9-K9</f>
        <v>-23302</v>
      </c>
      <c r="P9" s="17"/>
      <c r="Q9" s="17"/>
    </row>
    <row r="10" spans="1:17" ht="14.85" customHeight="1" x14ac:dyDescent="0.25">
      <c r="A10" s="37"/>
      <c r="B10" s="1"/>
      <c r="C10" s="1"/>
      <c r="D10" s="1"/>
      <c r="E10" s="1"/>
      <c r="F10" s="1" t="s">
        <v>106</v>
      </c>
      <c r="G10" s="1"/>
      <c r="H10" s="69"/>
      <c r="I10" s="121">
        <v>0</v>
      </c>
      <c r="J10" s="119">
        <f>SUM(H10:I10)</f>
        <v>0</v>
      </c>
      <c r="K10" s="61"/>
      <c r="L10" s="128"/>
      <c r="M10" s="129">
        <f>+L10-J10</f>
        <v>0</v>
      </c>
      <c r="N10" s="138">
        <f>+L10-K10</f>
        <v>0</v>
      </c>
      <c r="P10" s="17"/>
      <c r="Q10" s="17"/>
    </row>
    <row r="11" spans="1:17" ht="14.85" customHeight="1" x14ac:dyDescent="0.25">
      <c r="A11" s="37"/>
      <c r="B11" s="1"/>
      <c r="C11" s="1"/>
      <c r="D11" s="1"/>
      <c r="E11" s="1"/>
      <c r="F11" s="1" t="s">
        <v>4</v>
      </c>
      <c r="G11" s="1"/>
      <c r="H11" s="69">
        <v>600</v>
      </c>
      <c r="I11" s="121"/>
      <c r="J11" s="119">
        <f>SUM(H11:I11)</f>
        <v>600</v>
      </c>
      <c r="K11" s="61">
        <v>400</v>
      </c>
      <c r="L11" s="128">
        <v>380</v>
      </c>
      <c r="M11" s="129">
        <f>+L11-J11</f>
        <v>-220</v>
      </c>
      <c r="N11" s="138">
        <f>+L11-K11</f>
        <v>-20</v>
      </c>
      <c r="P11" s="17"/>
      <c r="Q11" s="17"/>
    </row>
    <row r="12" spans="1:17" ht="14.85" customHeight="1" x14ac:dyDescent="0.25">
      <c r="A12" s="37"/>
      <c r="B12" s="1"/>
      <c r="C12" s="1"/>
      <c r="D12" s="1"/>
      <c r="E12" s="1"/>
      <c r="F12" s="1" t="s">
        <v>5</v>
      </c>
      <c r="G12" s="1"/>
      <c r="H12" s="69">
        <v>1421.74</v>
      </c>
      <c r="I12" s="121">
        <v>1347.72</v>
      </c>
      <c r="J12" s="119">
        <f>SUM(H12:I12)</f>
        <v>2769.46</v>
      </c>
      <c r="K12" s="61">
        <v>5800</v>
      </c>
      <c r="L12" s="128">
        <f>5510-3010</f>
        <v>2500</v>
      </c>
      <c r="M12" s="129">
        <f>+L12-J12</f>
        <v>-269.46000000000004</v>
      </c>
      <c r="N12" s="138">
        <f>+L12-K12</f>
        <v>-3300</v>
      </c>
      <c r="P12" s="17"/>
      <c r="Q12" s="17"/>
    </row>
    <row r="13" spans="1:17" ht="14.85" customHeight="1" thickBot="1" x14ac:dyDescent="0.3">
      <c r="A13" s="37"/>
      <c r="B13" s="1"/>
      <c r="C13" s="1"/>
      <c r="D13" s="1"/>
      <c r="E13" s="1"/>
      <c r="F13" s="1" t="s">
        <v>6</v>
      </c>
      <c r="G13" s="1"/>
      <c r="H13" s="69">
        <v>25200</v>
      </c>
      <c r="I13" s="121">
        <v>8400</v>
      </c>
      <c r="J13" s="119">
        <f>SUM(H13:I13)</f>
        <v>33600</v>
      </c>
      <c r="K13" s="61">
        <v>33600</v>
      </c>
      <c r="L13" s="127">
        <f>1450*12*2</f>
        <v>34800</v>
      </c>
      <c r="M13" s="129">
        <f>+L13-J13</f>
        <v>1200</v>
      </c>
      <c r="N13" s="138">
        <f>+L13-K13</f>
        <v>1200</v>
      </c>
      <c r="P13" s="17"/>
      <c r="Q13" s="17"/>
    </row>
    <row r="14" spans="1:17" s="11" customFormat="1" ht="14.85" customHeight="1" thickBot="1" x14ac:dyDescent="0.3">
      <c r="A14" s="37"/>
      <c r="B14" s="13"/>
      <c r="C14" s="13"/>
      <c r="D14" s="13"/>
      <c r="E14" s="13" t="s">
        <v>7</v>
      </c>
      <c r="F14" s="13"/>
      <c r="G14" s="13"/>
      <c r="H14" s="72">
        <f t="shared" ref="H14:N14" si="0">ROUND(SUM(H8:H13),5)</f>
        <v>602379.09</v>
      </c>
      <c r="I14" s="72">
        <f t="shared" si="0"/>
        <v>171160.11</v>
      </c>
      <c r="J14" s="72">
        <f t="shared" si="0"/>
        <v>773539.2</v>
      </c>
      <c r="K14" s="72">
        <f t="shared" si="0"/>
        <v>852800</v>
      </c>
      <c r="L14" s="76">
        <f t="shared" si="0"/>
        <v>827378</v>
      </c>
      <c r="M14" s="136">
        <f t="shared" si="0"/>
        <v>53838.8</v>
      </c>
      <c r="N14" s="136">
        <f t="shared" si="0"/>
        <v>-25422</v>
      </c>
      <c r="P14" s="17"/>
      <c r="Q14" s="17"/>
    </row>
    <row r="15" spans="1:17" s="11" customFormat="1" ht="14.85" customHeight="1" thickBot="1" x14ac:dyDescent="0.3">
      <c r="A15" s="37"/>
      <c r="B15" s="14"/>
      <c r="C15" s="14"/>
      <c r="D15" s="14" t="s">
        <v>8</v>
      </c>
      <c r="E15" s="14"/>
      <c r="F15" s="14"/>
      <c r="G15" s="14"/>
      <c r="H15" s="73">
        <f t="shared" ref="H15:N15" si="1">ROUND(H14,5)</f>
        <v>602379.09</v>
      </c>
      <c r="I15" s="73">
        <f t="shared" si="1"/>
        <v>171160.11</v>
      </c>
      <c r="J15" s="73">
        <f t="shared" si="1"/>
        <v>773539.2</v>
      </c>
      <c r="K15" s="73">
        <f t="shared" si="1"/>
        <v>852800</v>
      </c>
      <c r="L15" s="73">
        <f t="shared" si="1"/>
        <v>827378</v>
      </c>
      <c r="M15" s="137">
        <f t="shared" si="1"/>
        <v>53838.8</v>
      </c>
      <c r="N15" s="139">
        <f t="shared" si="1"/>
        <v>-25422</v>
      </c>
      <c r="P15" s="17"/>
      <c r="Q15" s="17"/>
    </row>
    <row r="16" spans="1:17" ht="17.25" customHeight="1" x14ac:dyDescent="0.25">
      <c r="A16" s="37"/>
      <c r="B16" s="1"/>
      <c r="C16" s="1"/>
      <c r="D16" s="1" t="s">
        <v>9</v>
      </c>
      <c r="E16" s="1"/>
      <c r="F16" s="1"/>
      <c r="G16" s="1"/>
      <c r="H16" s="60"/>
      <c r="I16" s="60"/>
      <c r="J16" s="60"/>
      <c r="K16" s="60"/>
      <c r="L16" s="60"/>
      <c r="M16" s="95"/>
      <c r="N16" s="140"/>
      <c r="P16" s="17"/>
      <c r="Q16" s="17"/>
    </row>
    <row r="17" spans="1:17" ht="14.85" customHeight="1" x14ac:dyDescent="0.25">
      <c r="A17" s="37"/>
      <c r="B17" s="1"/>
      <c r="C17" s="1"/>
      <c r="D17" s="1"/>
      <c r="E17" s="1" t="s">
        <v>10</v>
      </c>
      <c r="F17" s="1"/>
      <c r="G17" s="1"/>
      <c r="H17" s="60"/>
      <c r="I17" s="60"/>
      <c r="J17" s="60"/>
      <c r="K17" s="60"/>
      <c r="L17" s="60"/>
      <c r="M17" s="95"/>
      <c r="N17" s="140"/>
      <c r="P17" s="17"/>
      <c r="Q17" s="17"/>
    </row>
    <row r="18" spans="1:17" ht="14.85" customHeight="1" x14ac:dyDescent="0.25">
      <c r="A18" s="37"/>
      <c r="B18" s="1"/>
      <c r="C18" s="1"/>
      <c r="D18" s="1"/>
      <c r="E18" s="1"/>
      <c r="F18" s="1" t="s">
        <v>11</v>
      </c>
      <c r="G18" s="1"/>
      <c r="H18" s="60"/>
      <c r="I18" s="74"/>
      <c r="J18" s="74"/>
      <c r="K18" s="60"/>
      <c r="L18" s="60"/>
      <c r="M18" s="95"/>
      <c r="N18" s="140"/>
      <c r="P18" s="17"/>
      <c r="Q18" s="17"/>
    </row>
    <row r="19" spans="1:17" ht="14.85" customHeight="1" x14ac:dyDescent="0.25">
      <c r="A19" s="37"/>
      <c r="B19" s="1"/>
      <c r="C19" s="1"/>
      <c r="D19" s="1"/>
      <c r="E19" s="1"/>
      <c r="F19" s="1"/>
      <c r="G19" s="1" t="s">
        <v>12</v>
      </c>
      <c r="H19" s="69">
        <v>9068.19</v>
      </c>
      <c r="I19" s="121">
        <v>1865.45</v>
      </c>
      <c r="J19" s="119">
        <f t="shared" ref="J19:J34" si="2">SUM(H19:I19)</f>
        <v>10933.640000000001</v>
      </c>
      <c r="K19" s="61">
        <v>12000</v>
      </c>
      <c r="L19" s="128">
        <f>11400*1.1</f>
        <v>12540.000000000002</v>
      </c>
      <c r="M19" s="129">
        <f t="shared" ref="M19:M34" si="3">+L19-J19</f>
        <v>1606.3600000000006</v>
      </c>
      <c r="N19" s="138">
        <f t="shared" ref="N19:N34" si="4">+L19-K19</f>
        <v>540.00000000000182</v>
      </c>
      <c r="P19" s="17"/>
      <c r="Q19" s="154"/>
    </row>
    <row r="20" spans="1:17" ht="14.85" customHeight="1" x14ac:dyDescent="0.25">
      <c r="A20" s="37"/>
      <c r="B20" s="1"/>
      <c r="C20" s="1"/>
      <c r="D20" s="1"/>
      <c r="E20" s="1"/>
      <c r="F20" s="1"/>
      <c r="G20" s="1" t="s">
        <v>13</v>
      </c>
      <c r="H20" s="69">
        <v>4211.51</v>
      </c>
      <c r="I20" s="121">
        <v>1017.94</v>
      </c>
      <c r="J20" s="119">
        <f t="shared" si="2"/>
        <v>5229.4500000000007</v>
      </c>
      <c r="K20" s="61">
        <v>5000</v>
      </c>
      <c r="L20" s="128">
        <f>5500*1.1</f>
        <v>6050.0000000000009</v>
      </c>
      <c r="M20" s="129">
        <f t="shared" si="3"/>
        <v>820.55000000000018</v>
      </c>
      <c r="N20" s="138">
        <f t="shared" si="4"/>
        <v>1050.0000000000009</v>
      </c>
      <c r="P20" s="17"/>
      <c r="Q20" s="154"/>
    </row>
    <row r="21" spans="1:17" ht="14.85" customHeight="1" x14ac:dyDescent="0.25">
      <c r="A21" s="37"/>
      <c r="B21" s="1"/>
      <c r="C21" s="1"/>
      <c r="D21" s="1"/>
      <c r="E21" s="1"/>
      <c r="F21" s="1"/>
      <c r="G21" s="1" t="s">
        <v>111</v>
      </c>
      <c r="H21" s="69">
        <v>2426.7800000000002</v>
      </c>
      <c r="I21" s="121">
        <v>766.49</v>
      </c>
      <c r="J21" s="119">
        <f t="shared" si="2"/>
        <v>3193.2700000000004</v>
      </c>
      <c r="K21" s="61">
        <v>2600</v>
      </c>
      <c r="L21" s="128">
        <v>2700</v>
      </c>
      <c r="M21" s="129">
        <f t="shared" si="3"/>
        <v>-493.27000000000044</v>
      </c>
      <c r="N21" s="138">
        <f t="shared" si="4"/>
        <v>100</v>
      </c>
      <c r="P21" s="17"/>
      <c r="Q21" s="154"/>
    </row>
    <row r="22" spans="1:17" ht="14.85" customHeight="1" x14ac:dyDescent="0.25">
      <c r="A22" s="37"/>
      <c r="B22" s="1"/>
      <c r="C22" s="1"/>
      <c r="D22" s="1"/>
      <c r="E22" s="1"/>
      <c r="F22" s="1"/>
      <c r="G22" s="1" t="s">
        <v>14</v>
      </c>
      <c r="H22" s="69">
        <v>550.52</v>
      </c>
      <c r="I22" s="121">
        <v>142.11000000000001</v>
      </c>
      <c r="J22" s="119">
        <f t="shared" si="2"/>
        <v>692.63</v>
      </c>
      <c r="K22" s="61">
        <v>1000</v>
      </c>
      <c r="L22" s="128">
        <f>900*1.1</f>
        <v>990.00000000000011</v>
      </c>
      <c r="M22" s="129">
        <f t="shared" si="3"/>
        <v>297.37000000000012</v>
      </c>
      <c r="N22" s="138">
        <f t="shared" si="4"/>
        <v>-9.9999999999998863</v>
      </c>
      <c r="P22" s="17"/>
      <c r="Q22" s="154"/>
    </row>
    <row r="23" spans="1:17" ht="14.85" customHeight="1" x14ac:dyDescent="0.25">
      <c r="A23" s="37"/>
      <c r="B23" s="1"/>
      <c r="C23" s="1"/>
      <c r="D23" s="1"/>
      <c r="E23" s="1"/>
      <c r="F23" s="1"/>
      <c r="G23" s="1" t="s">
        <v>15</v>
      </c>
      <c r="H23" s="69">
        <v>549.99</v>
      </c>
      <c r="I23" s="121">
        <v>171.87</v>
      </c>
      <c r="J23" s="119">
        <f t="shared" si="2"/>
        <v>721.86</v>
      </c>
      <c r="K23" s="61">
        <v>2000</v>
      </c>
      <c r="L23" s="128">
        <v>1000</v>
      </c>
      <c r="M23" s="129">
        <f t="shared" si="3"/>
        <v>278.14</v>
      </c>
      <c r="N23" s="138">
        <f t="shared" si="4"/>
        <v>-1000</v>
      </c>
      <c r="P23" s="17"/>
      <c r="Q23" s="154"/>
    </row>
    <row r="24" spans="1:17" ht="14.85" customHeight="1" x14ac:dyDescent="0.25">
      <c r="A24" s="37"/>
      <c r="B24" s="1"/>
      <c r="C24" s="1"/>
      <c r="D24" s="1"/>
      <c r="E24" s="1"/>
      <c r="F24" s="1"/>
      <c r="G24" s="1" t="s">
        <v>16</v>
      </c>
      <c r="H24" s="69">
        <v>705.06</v>
      </c>
      <c r="I24" s="121">
        <v>207.98</v>
      </c>
      <c r="J24" s="119">
        <f t="shared" si="2"/>
        <v>913.04</v>
      </c>
      <c r="K24" s="61">
        <v>1000</v>
      </c>
      <c r="L24" s="128">
        <f>1000*1.1</f>
        <v>1100</v>
      </c>
      <c r="M24" s="129">
        <f t="shared" si="3"/>
        <v>186.96000000000004</v>
      </c>
      <c r="N24" s="138">
        <f t="shared" si="4"/>
        <v>100</v>
      </c>
      <c r="P24" s="17"/>
      <c r="Q24" s="154"/>
    </row>
    <row r="25" spans="1:17" ht="14.85" customHeight="1" x14ac:dyDescent="0.25">
      <c r="A25" s="37"/>
      <c r="B25" s="1"/>
      <c r="C25" s="1"/>
      <c r="D25" s="1"/>
      <c r="E25" s="1"/>
      <c r="F25" s="1"/>
      <c r="G25" s="1" t="s">
        <v>17</v>
      </c>
      <c r="H25" s="69">
        <v>699.38</v>
      </c>
      <c r="I25" s="121">
        <v>123.1</v>
      </c>
      <c r="J25" s="119">
        <f t="shared" si="2"/>
        <v>822.48</v>
      </c>
      <c r="K25" s="61">
        <v>750</v>
      </c>
      <c r="L25" s="128">
        <v>800</v>
      </c>
      <c r="M25" s="129">
        <f t="shared" si="3"/>
        <v>-22.480000000000018</v>
      </c>
      <c r="N25" s="138">
        <f t="shared" si="4"/>
        <v>50</v>
      </c>
      <c r="P25" s="17"/>
      <c r="Q25" s="154"/>
    </row>
    <row r="26" spans="1:17" ht="14.85" customHeight="1" x14ac:dyDescent="0.25">
      <c r="A26" s="37"/>
      <c r="B26" s="1"/>
      <c r="C26" s="1"/>
      <c r="D26" s="1"/>
      <c r="E26" s="1"/>
      <c r="F26" s="1"/>
      <c r="G26" s="1" t="s">
        <v>18</v>
      </c>
      <c r="H26" s="69">
        <v>9797.24</v>
      </c>
      <c r="I26" s="121">
        <v>2839.83</v>
      </c>
      <c r="J26" s="119">
        <f t="shared" si="2"/>
        <v>12637.07</v>
      </c>
      <c r="K26" s="61">
        <v>15000</v>
      </c>
      <c r="L26" s="128">
        <v>14000</v>
      </c>
      <c r="M26" s="129">
        <f t="shared" si="3"/>
        <v>1362.9300000000003</v>
      </c>
      <c r="N26" s="138">
        <f t="shared" si="4"/>
        <v>-1000</v>
      </c>
      <c r="P26" s="17"/>
      <c r="Q26" s="154"/>
    </row>
    <row r="27" spans="1:17" ht="14.85" customHeight="1" x14ac:dyDescent="0.25">
      <c r="A27" s="37"/>
      <c r="B27" s="1"/>
      <c r="C27" s="1"/>
      <c r="D27" s="1"/>
      <c r="E27" s="1"/>
      <c r="F27" s="1"/>
      <c r="G27" s="1" t="s">
        <v>19</v>
      </c>
      <c r="H27" s="69">
        <v>0</v>
      </c>
      <c r="I27" s="121">
        <v>362.69</v>
      </c>
      <c r="J27" s="119">
        <f t="shared" si="2"/>
        <v>362.69</v>
      </c>
      <c r="K27" s="61">
        <v>1500</v>
      </c>
      <c r="L27" s="128">
        <v>1000</v>
      </c>
      <c r="M27" s="129">
        <f t="shared" si="3"/>
        <v>637.30999999999995</v>
      </c>
      <c r="N27" s="138">
        <f t="shared" si="4"/>
        <v>-500</v>
      </c>
      <c r="P27" s="17"/>
      <c r="Q27" s="154"/>
    </row>
    <row r="28" spans="1:17" ht="14.85" customHeight="1" x14ac:dyDescent="0.25">
      <c r="A28" s="37"/>
      <c r="B28" s="1"/>
      <c r="C28" s="1"/>
      <c r="D28" s="1"/>
      <c r="E28" s="1"/>
      <c r="F28" s="1"/>
      <c r="G28" s="1" t="s">
        <v>20</v>
      </c>
      <c r="H28" s="69">
        <v>9668.5</v>
      </c>
      <c r="I28" s="121">
        <v>3078</v>
      </c>
      <c r="J28" s="119">
        <f t="shared" si="2"/>
        <v>12746.5</v>
      </c>
      <c r="K28" s="61">
        <v>13750</v>
      </c>
      <c r="L28" s="128">
        <v>13200</v>
      </c>
      <c r="M28" s="129">
        <f t="shared" si="3"/>
        <v>453.5</v>
      </c>
      <c r="N28" s="138">
        <f t="shared" si="4"/>
        <v>-550</v>
      </c>
      <c r="P28" s="17"/>
      <c r="Q28" s="154"/>
    </row>
    <row r="29" spans="1:17" ht="14.85" customHeight="1" x14ac:dyDescent="0.25">
      <c r="A29" s="37"/>
      <c r="B29" s="1"/>
      <c r="C29" s="1"/>
      <c r="D29" s="1"/>
      <c r="E29" s="1"/>
      <c r="F29" s="1"/>
      <c r="G29" s="1" t="s">
        <v>117</v>
      </c>
      <c r="H29" s="69">
        <v>1141.1400000000001</v>
      </c>
      <c r="I29" s="121">
        <v>381</v>
      </c>
      <c r="J29" s="119">
        <f t="shared" si="2"/>
        <v>1522.14</v>
      </c>
      <c r="K29" s="61">
        <v>1600</v>
      </c>
      <c r="L29" s="128">
        <f>1550*1.1</f>
        <v>1705.0000000000002</v>
      </c>
      <c r="M29" s="129">
        <f t="shared" si="3"/>
        <v>182.86000000000013</v>
      </c>
      <c r="N29" s="138">
        <f t="shared" si="4"/>
        <v>105.00000000000023</v>
      </c>
      <c r="P29" s="17"/>
      <c r="Q29" s="154"/>
    </row>
    <row r="30" spans="1:17" ht="14.85" customHeight="1" x14ac:dyDescent="0.25">
      <c r="A30" s="37"/>
      <c r="B30" s="1"/>
      <c r="C30" s="1"/>
      <c r="D30" s="1"/>
      <c r="E30" s="1"/>
      <c r="F30" s="1"/>
      <c r="G30" s="1" t="s">
        <v>21</v>
      </c>
      <c r="H30" s="69">
        <v>90.05</v>
      </c>
      <c r="I30" s="121">
        <v>267</v>
      </c>
      <c r="J30" s="119">
        <f t="shared" si="2"/>
        <v>357.05</v>
      </c>
      <c r="K30" s="61">
        <v>3000</v>
      </c>
      <c r="L30" s="128">
        <v>2000</v>
      </c>
      <c r="M30" s="129">
        <f t="shared" si="3"/>
        <v>1642.95</v>
      </c>
      <c r="N30" s="138">
        <f t="shared" si="4"/>
        <v>-1000</v>
      </c>
      <c r="P30" s="17"/>
      <c r="Q30" s="154"/>
    </row>
    <row r="31" spans="1:17" ht="14.85" customHeight="1" x14ac:dyDescent="0.25">
      <c r="A31" s="37"/>
      <c r="B31" s="1"/>
      <c r="C31" s="1"/>
      <c r="D31" s="1"/>
      <c r="E31" s="1"/>
      <c r="F31" s="1"/>
      <c r="G31" s="1" t="s">
        <v>22</v>
      </c>
      <c r="H31" s="69">
        <v>0</v>
      </c>
      <c r="I31" s="122">
        <v>7656.13</v>
      </c>
      <c r="J31" s="119">
        <f t="shared" si="2"/>
        <v>7656.13</v>
      </c>
      <c r="K31" s="61">
        <v>9000</v>
      </c>
      <c r="L31" s="128">
        <v>8250</v>
      </c>
      <c r="M31" s="129">
        <f t="shared" si="3"/>
        <v>593.86999999999989</v>
      </c>
      <c r="N31" s="138">
        <f t="shared" si="4"/>
        <v>-750</v>
      </c>
      <c r="P31" s="17"/>
      <c r="Q31" s="154"/>
    </row>
    <row r="32" spans="1:17" ht="14.85" customHeight="1" x14ac:dyDescent="0.25">
      <c r="A32" s="37"/>
      <c r="B32" s="1"/>
      <c r="C32" s="1"/>
      <c r="D32" s="1"/>
      <c r="E32" s="1"/>
      <c r="F32" s="1"/>
      <c r="G32" s="1" t="s">
        <v>23</v>
      </c>
      <c r="H32" s="69">
        <v>2932.35</v>
      </c>
      <c r="I32" s="121">
        <v>1862.1</v>
      </c>
      <c r="J32" s="119">
        <f t="shared" si="2"/>
        <v>4794.45</v>
      </c>
      <c r="K32" s="61">
        <v>4500</v>
      </c>
      <c r="L32" s="128">
        <v>4800</v>
      </c>
      <c r="M32" s="129">
        <f t="shared" si="3"/>
        <v>5.5500000000001819</v>
      </c>
      <c r="N32" s="138">
        <f t="shared" si="4"/>
        <v>300</v>
      </c>
      <c r="P32" s="17"/>
      <c r="Q32" s="154"/>
    </row>
    <row r="33" spans="1:17" ht="14.85" customHeight="1" x14ac:dyDescent="0.25">
      <c r="A33" s="37"/>
      <c r="B33" s="1"/>
      <c r="C33" s="1"/>
      <c r="D33" s="1"/>
      <c r="E33" s="1"/>
      <c r="F33" s="1"/>
      <c r="G33" s="1" t="s">
        <v>24</v>
      </c>
      <c r="H33" s="69">
        <v>696.25</v>
      </c>
      <c r="I33" s="121">
        <v>0</v>
      </c>
      <c r="J33" s="119">
        <f t="shared" si="2"/>
        <v>696.25</v>
      </c>
      <c r="K33" s="61">
        <v>1500</v>
      </c>
      <c r="L33" s="128">
        <v>1400</v>
      </c>
      <c r="M33" s="129">
        <f t="shared" si="3"/>
        <v>703.75</v>
      </c>
      <c r="N33" s="138">
        <f t="shared" si="4"/>
        <v>-100</v>
      </c>
      <c r="P33" s="17"/>
      <c r="Q33" s="154"/>
    </row>
    <row r="34" spans="1:17" ht="14.85" customHeight="1" thickBot="1" x14ac:dyDescent="0.3">
      <c r="A34" s="37"/>
      <c r="B34" s="1"/>
      <c r="C34" s="1"/>
      <c r="D34" s="1"/>
      <c r="E34" s="1"/>
      <c r="F34" s="1"/>
      <c r="G34" s="1" t="s">
        <v>113</v>
      </c>
      <c r="H34" s="70">
        <v>1032.28</v>
      </c>
      <c r="I34" s="123">
        <v>283.92</v>
      </c>
      <c r="J34" s="120">
        <f t="shared" si="2"/>
        <v>1316.2</v>
      </c>
      <c r="K34" s="62">
        <v>1000</v>
      </c>
      <c r="L34" s="127">
        <v>1200</v>
      </c>
      <c r="M34" s="130">
        <f t="shared" si="3"/>
        <v>-116.20000000000005</v>
      </c>
      <c r="N34" s="141">
        <f t="shared" si="4"/>
        <v>200</v>
      </c>
      <c r="P34" s="17"/>
      <c r="Q34" s="154"/>
    </row>
    <row r="35" spans="1:17" s="11" customFormat="1" ht="14.85" customHeight="1" x14ac:dyDescent="0.25">
      <c r="A35" s="37"/>
      <c r="B35" s="13"/>
      <c r="C35" s="13"/>
      <c r="D35" s="13"/>
      <c r="E35" s="13"/>
      <c r="F35" s="13" t="s">
        <v>25</v>
      </c>
      <c r="G35" s="13"/>
      <c r="H35" s="75">
        <f t="shared" ref="H35:N35" si="5">ROUND(SUM(H18:H34),5)</f>
        <v>43569.24</v>
      </c>
      <c r="I35" s="75">
        <f t="shared" si="5"/>
        <v>21025.61</v>
      </c>
      <c r="J35" s="75">
        <f t="shared" si="5"/>
        <v>64594.85</v>
      </c>
      <c r="K35" s="75">
        <f t="shared" si="5"/>
        <v>75200</v>
      </c>
      <c r="L35" s="75">
        <f t="shared" si="5"/>
        <v>72735</v>
      </c>
      <c r="M35" s="94">
        <f t="shared" si="5"/>
        <v>8140.15</v>
      </c>
      <c r="N35" s="142">
        <f t="shared" si="5"/>
        <v>-2465</v>
      </c>
      <c r="P35" s="17"/>
      <c r="Q35" s="17"/>
    </row>
    <row r="36" spans="1:17" ht="14.85" customHeight="1" x14ac:dyDescent="0.25">
      <c r="A36" s="37"/>
      <c r="B36" s="1"/>
      <c r="C36" s="1"/>
      <c r="D36" s="1"/>
      <c r="E36" s="1"/>
      <c r="F36" s="1" t="s">
        <v>26</v>
      </c>
      <c r="G36" s="1"/>
      <c r="H36" s="60"/>
      <c r="I36" s="60"/>
      <c r="J36" s="60"/>
      <c r="K36" s="60"/>
      <c r="L36" s="74"/>
      <c r="M36" s="95"/>
      <c r="N36" s="140"/>
      <c r="P36" s="17"/>
      <c r="Q36" s="17"/>
    </row>
    <row r="37" spans="1:17" ht="14.85" customHeight="1" x14ac:dyDescent="0.25">
      <c r="A37" s="37"/>
      <c r="B37" s="1"/>
      <c r="C37" s="1"/>
      <c r="D37" s="1"/>
      <c r="E37" s="1"/>
      <c r="F37" s="1"/>
      <c r="G37" s="1" t="s">
        <v>27</v>
      </c>
      <c r="H37" s="69">
        <v>240557.24</v>
      </c>
      <c r="I37" s="121">
        <f>73178.14+6000</f>
        <v>79178.14</v>
      </c>
      <c r="J37" s="119">
        <f t="shared" ref="J37:J44" si="6">SUM(H37:I37)</f>
        <v>319735.38</v>
      </c>
      <c r="K37" s="61">
        <v>347298</v>
      </c>
      <c r="L37" s="128">
        <f>(386896+11520)-L38</f>
        <v>331316</v>
      </c>
      <c r="M37" s="129">
        <f t="shared" ref="M37:M44" si="7">+L37-J37</f>
        <v>11580.619999999995</v>
      </c>
      <c r="N37" s="138">
        <f t="shared" ref="N37:N44" si="8">+L37-K37</f>
        <v>-15982</v>
      </c>
      <c r="O37" s="71"/>
      <c r="P37" s="17"/>
      <c r="Q37" s="154"/>
    </row>
    <row r="38" spans="1:17" ht="14.85" customHeight="1" x14ac:dyDescent="0.25">
      <c r="A38" s="37"/>
      <c r="B38" s="1"/>
      <c r="C38" s="1"/>
      <c r="D38" s="1"/>
      <c r="E38" s="1"/>
      <c r="F38" s="1"/>
      <c r="G38" s="1" t="s">
        <v>28</v>
      </c>
      <c r="H38" s="69">
        <v>49375.14</v>
      </c>
      <c r="I38" s="121">
        <v>19249.7</v>
      </c>
      <c r="J38" s="119">
        <f t="shared" si="6"/>
        <v>68624.84</v>
      </c>
      <c r="K38" s="61">
        <v>80000</v>
      </c>
      <c r="L38" s="128">
        <f>16000+25000+13050+13050</f>
        <v>67100</v>
      </c>
      <c r="M38" s="129">
        <f t="shared" si="7"/>
        <v>-1524.8399999999965</v>
      </c>
      <c r="N38" s="138">
        <f t="shared" si="8"/>
        <v>-12900</v>
      </c>
      <c r="O38" s="71"/>
      <c r="P38" s="17"/>
      <c r="Q38" s="154"/>
    </row>
    <row r="39" spans="1:17" ht="14.85" customHeight="1" x14ac:dyDescent="0.25">
      <c r="A39" s="37"/>
      <c r="B39" s="1"/>
      <c r="C39" s="1"/>
      <c r="D39" s="1"/>
      <c r="E39" s="1"/>
      <c r="F39" s="1"/>
      <c r="G39" s="1" t="s">
        <v>29</v>
      </c>
      <c r="H39" s="69">
        <v>252.28</v>
      </c>
      <c r="I39" s="121">
        <v>111.78</v>
      </c>
      <c r="J39" s="119">
        <f t="shared" si="6"/>
        <v>364.06</v>
      </c>
      <c r="K39" s="61">
        <v>1200</v>
      </c>
      <c r="L39" s="128">
        <v>1200</v>
      </c>
      <c r="M39" s="129">
        <f t="shared" si="7"/>
        <v>835.94</v>
      </c>
      <c r="N39" s="138">
        <f t="shared" si="8"/>
        <v>0</v>
      </c>
      <c r="O39" s="71"/>
      <c r="P39" s="17"/>
      <c r="Q39" s="154"/>
    </row>
    <row r="40" spans="1:17" ht="14.85" customHeight="1" x14ac:dyDescent="0.25">
      <c r="A40" s="37"/>
      <c r="B40" s="1"/>
      <c r="C40" s="1"/>
      <c r="D40" s="1"/>
      <c r="E40" s="1"/>
      <c r="F40" s="1"/>
      <c r="G40" s="1" t="s">
        <v>30</v>
      </c>
      <c r="H40" s="69">
        <v>1700.41</v>
      </c>
      <c r="I40" s="121">
        <v>266.81</v>
      </c>
      <c r="J40" s="119">
        <f t="shared" si="6"/>
        <v>1967.22</v>
      </c>
      <c r="K40" s="61">
        <v>6800</v>
      </c>
      <c r="L40" s="128">
        <f>1200*4+350</f>
        <v>5150</v>
      </c>
      <c r="M40" s="129">
        <f t="shared" si="7"/>
        <v>3182.7799999999997</v>
      </c>
      <c r="N40" s="138">
        <f t="shared" si="8"/>
        <v>-1650</v>
      </c>
      <c r="O40" s="71"/>
      <c r="P40" s="17"/>
      <c r="Q40" s="154"/>
    </row>
    <row r="41" spans="1:17" ht="14.85" customHeight="1" x14ac:dyDescent="0.25">
      <c r="A41" s="37"/>
      <c r="B41" s="1"/>
      <c r="C41" s="1"/>
      <c r="D41" s="1"/>
      <c r="E41" s="1"/>
      <c r="F41" s="1"/>
      <c r="G41" s="1" t="s">
        <v>31</v>
      </c>
      <c r="H41" s="69">
        <v>3592</v>
      </c>
      <c r="I41" s="121">
        <v>0</v>
      </c>
      <c r="J41" s="119">
        <f t="shared" si="6"/>
        <v>3592</v>
      </c>
      <c r="K41" s="61">
        <v>5800</v>
      </c>
      <c r="L41" s="128">
        <v>5500</v>
      </c>
      <c r="M41" s="129">
        <f t="shared" si="7"/>
        <v>1908</v>
      </c>
      <c r="N41" s="138">
        <f t="shared" si="8"/>
        <v>-300</v>
      </c>
      <c r="O41" s="71"/>
      <c r="P41" s="17"/>
      <c r="Q41" s="154"/>
    </row>
    <row r="42" spans="1:17" ht="14.85" customHeight="1" x14ac:dyDescent="0.25">
      <c r="A42" s="37"/>
      <c r="B42" s="1"/>
      <c r="C42" s="1"/>
      <c r="D42" s="1"/>
      <c r="E42" s="1"/>
      <c r="F42" s="1"/>
      <c r="G42" s="1" t="s">
        <v>32</v>
      </c>
      <c r="H42" s="69">
        <v>29767.68</v>
      </c>
      <c r="I42" s="121">
        <v>10784.23</v>
      </c>
      <c r="J42" s="119">
        <f t="shared" si="6"/>
        <v>40551.910000000003</v>
      </c>
      <c r="K42" s="61">
        <v>47772</v>
      </c>
      <c r="L42" s="128">
        <f>32013+2378+1612</f>
        <v>36003</v>
      </c>
      <c r="M42" s="129">
        <f t="shared" si="7"/>
        <v>-4548.9100000000035</v>
      </c>
      <c r="N42" s="138">
        <f t="shared" si="8"/>
        <v>-11769</v>
      </c>
      <c r="O42" s="71"/>
      <c r="P42" s="17"/>
      <c r="Q42" s="154"/>
    </row>
    <row r="43" spans="1:17" ht="14.85" customHeight="1" x14ac:dyDescent="0.25">
      <c r="A43" s="37"/>
      <c r="B43" s="1"/>
      <c r="C43" s="1"/>
      <c r="D43" s="1"/>
      <c r="E43" s="1"/>
      <c r="F43" s="1"/>
      <c r="G43" s="1" t="s">
        <v>33</v>
      </c>
      <c r="H43" s="69">
        <v>7475.6</v>
      </c>
      <c r="I43" s="121">
        <v>2327.85</v>
      </c>
      <c r="J43" s="119">
        <f t="shared" si="6"/>
        <v>9803.4500000000007</v>
      </c>
      <c r="K43" s="61">
        <v>11155</v>
      </c>
      <c r="L43" s="128">
        <v>10528</v>
      </c>
      <c r="M43" s="129">
        <f t="shared" si="7"/>
        <v>724.54999999999927</v>
      </c>
      <c r="N43" s="138">
        <f t="shared" si="8"/>
        <v>-627</v>
      </c>
      <c r="O43" s="71"/>
      <c r="P43" s="17"/>
      <c r="Q43" s="154"/>
    </row>
    <row r="44" spans="1:17" ht="14.85" customHeight="1" thickBot="1" x14ac:dyDescent="0.3">
      <c r="A44" s="37"/>
      <c r="B44" s="1"/>
      <c r="C44" s="1"/>
      <c r="D44" s="1"/>
      <c r="E44" s="1"/>
      <c r="F44" s="1"/>
      <c r="G44" s="1" t="s">
        <v>34</v>
      </c>
      <c r="H44" s="70">
        <v>6971.7</v>
      </c>
      <c r="I44" s="123">
        <v>2045.52</v>
      </c>
      <c r="J44" s="120">
        <f t="shared" si="6"/>
        <v>9017.2199999999993</v>
      </c>
      <c r="K44" s="62">
        <v>8818</v>
      </c>
      <c r="L44" s="127">
        <v>8637</v>
      </c>
      <c r="M44" s="130">
        <f t="shared" si="7"/>
        <v>-380.21999999999935</v>
      </c>
      <c r="N44" s="141">
        <f t="shared" si="8"/>
        <v>-181</v>
      </c>
      <c r="O44" s="71"/>
      <c r="P44" s="17"/>
      <c r="Q44" s="154"/>
    </row>
    <row r="45" spans="1:17" s="11" customFormat="1" ht="14.85" customHeight="1" x14ac:dyDescent="0.25">
      <c r="A45" s="37"/>
      <c r="B45" s="13"/>
      <c r="C45" s="13"/>
      <c r="D45" s="13"/>
      <c r="E45" s="13"/>
      <c r="F45" s="13" t="s">
        <v>35</v>
      </c>
      <c r="G45" s="13"/>
      <c r="H45" s="75">
        <f t="shared" ref="H45:N45" si="9">ROUND(SUM(H36:H44),5)</f>
        <v>339692.05</v>
      </c>
      <c r="I45" s="75">
        <f t="shared" si="9"/>
        <v>113964.03</v>
      </c>
      <c r="J45" s="75">
        <f t="shared" si="9"/>
        <v>453656.08</v>
      </c>
      <c r="K45" s="76">
        <f t="shared" si="9"/>
        <v>508843</v>
      </c>
      <c r="L45" s="76">
        <f t="shared" si="9"/>
        <v>465434</v>
      </c>
      <c r="M45" s="96">
        <f t="shared" si="9"/>
        <v>11777.92</v>
      </c>
      <c r="N45" s="142">
        <f t="shared" si="9"/>
        <v>-43409</v>
      </c>
      <c r="P45" s="17"/>
      <c r="Q45" s="17"/>
    </row>
    <row r="46" spans="1:17" ht="14.85" customHeight="1" x14ac:dyDescent="0.25">
      <c r="A46" s="37"/>
      <c r="B46" s="1"/>
      <c r="C46" s="1"/>
      <c r="D46" s="1"/>
      <c r="E46" s="1"/>
      <c r="F46" s="1" t="s">
        <v>36</v>
      </c>
      <c r="G46" s="1"/>
      <c r="H46" s="60"/>
      <c r="I46" s="60"/>
      <c r="J46" s="60"/>
      <c r="K46" s="60"/>
      <c r="L46" s="60"/>
      <c r="M46" s="95"/>
      <c r="N46" s="140"/>
      <c r="P46" s="17"/>
      <c r="Q46" s="17"/>
    </row>
    <row r="47" spans="1:17" ht="14.85" customHeight="1" x14ac:dyDescent="0.25">
      <c r="A47" s="37"/>
      <c r="B47" s="1"/>
      <c r="C47" s="1"/>
      <c r="D47" s="1"/>
      <c r="E47" s="1"/>
      <c r="F47" s="1"/>
      <c r="G47" s="1" t="s">
        <v>37</v>
      </c>
      <c r="H47" s="69">
        <v>1433.5</v>
      </c>
      <c r="I47" s="121">
        <v>0</v>
      </c>
      <c r="J47" s="119">
        <f>SUM(H47:I47)</f>
        <v>1433.5</v>
      </c>
      <c r="K47" s="61">
        <v>3000</v>
      </c>
      <c r="L47" s="128">
        <v>2900</v>
      </c>
      <c r="M47" s="129">
        <f>+L47-J47</f>
        <v>1466.5</v>
      </c>
      <c r="N47" s="138">
        <f>+L47-K47</f>
        <v>-100</v>
      </c>
      <c r="P47" s="17"/>
      <c r="Q47" s="154"/>
    </row>
    <row r="48" spans="1:17" ht="14.85" customHeight="1" x14ac:dyDescent="0.25">
      <c r="A48" s="37"/>
      <c r="B48" s="1"/>
      <c r="C48" s="1"/>
      <c r="D48" s="1"/>
      <c r="E48" s="1"/>
      <c r="F48" s="1"/>
      <c r="G48" s="1" t="s">
        <v>38</v>
      </c>
      <c r="H48" s="69">
        <v>380.4</v>
      </c>
      <c r="I48" s="121">
        <v>191.23</v>
      </c>
      <c r="J48" s="119">
        <f>SUM(H48:I48)</f>
        <v>571.63</v>
      </c>
      <c r="K48" s="61">
        <v>1000</v>
      </c>
      <c r="L48" s="128">
        <v>700</v>
      </c>
      <c r="M48" s="129">
        <f>+L48-J48</f>
        <v>128.37</v>
      </c>
      <c r="N48" s="138">
        <f>+L48-K48</f>
        <v>-300</v>
      </c>
      <c r="P48" s="17"/>
      <c r="Q48" s="154"/>
    </row>
    <row r="49" spans="1:17" ht="14.85" customHeight="1" thickBot="1" x14ac:dyDescent="0.3">
      <c r="A49" s="37"/>
      <c r="B49" s="1"/>
      <c r="C49" s="1"/>
      <c r="D49" s="1"/>
      <c r="E49" s="1"/>
      <c r="F49" s="1"/>
      <c r="G49" s="1" t="s">
        <v>39</v>
      </c>
      <c r="H49" s="70">
        <v>1016.21</v>
      </c>
      <c r="I49" s="123">
        <v>12</v>
      </c>
      <c r="J49" s="120">
        <f>SUM(H49:I49)</f>
        <v>1028.21</v>
      </c>
      <c r="K49" s="62">
        <v>1500</v>
      </c>
      <c r="L49" s="127">
        <v>1000</v>
      </c>
      <c r="M49" s="130">
        <f>+L49-J49</f>
        <v>-28.210000000000036</v>
      </c>
      <c r="N49" s="141">
        <f>+L49-K49</f>
        <v>-500</v>
      </c>
      <c r="P49" s="17"/>
      <c r="Q49" s="154"/>
    </row>
    <row r="50" spans="1:17" s="11" customFormat="1" ht="14.85" customHeight="1" x14ac:dyDescent="0.25">
      <c r="A50" s="37"/>
      <c r="B50" s="13"/>
      <c r="C50" s="13"/>
      <c r="D50" s="13"/>
      <c r="E50" s="13"/>
      <c r="F50" s="13" t="s">
        <v>40</v>
      </c>
      <c r="G50" s="13"/>
      <c r="H50" s="75">
        <f t="shared" ref="H50:N50" si="10">ROUND(SUM(H46:H49),5)</f>
        <v>2830.11</v>
      </c>
      <c r="I50" s="75">
        <f t="shared" si="10"/>
        <v>203.23</v>
      </c>
      <c r="J50" s="75">
        <f t="shared" si="10"/>
        <v>3033.34</v>
      </c>
      <c r="K50" s="75">
        <f t="shared" si="10"/>
        <v>5500</v>
      </c>
      <c r="L50" s="75">
        <f t="shared" si="10"/>
        <v>4600</v>
      </c>
      <c r="M50" s="94">
        <f t="shared" si="10"/>
        <v>1566.66</v>
      </c>
      <c r="N50" s="142">
        <f t="shared" si="10"/>
        <v>-900</v>
      </c>
      <c r="P50" s="17"/>
      <c r="Q50" s="17"/>
    </row>
    <row r="51" spans="1:17" ht="14.85" customHeight="1" x14ac:dyDescent="0.25">
      <c r="A51" s="37"/>
      <c r="B51" s="1"/>
      <c r="C51" s="1"/>
      <c r="D51" s="1"/>
      <c r="E51" s="1"/>
      <c r="F51" s="1" t="s">
        <v>41</v>
      </c>
      <c r="G51" s="1"/>
      <c r="H51" s="60"/>
      <c r="I51" s="60"/>
      <c r="J51" s="60"/>
      <c r="K51" s="60"/>
      <c r="L51" s="60"/>
      <c r="M51" s="95"/>
      <c r="N51" s="140"/>
      <c r="P51" s="17"/>
      <c r="Q51" s="17"/>
    </row>
    <row r="52" spans="1:17" ht="14.85" customHeight="1" x14ac:dyDescent="0.25">
      <c r="A52" s="37"/>
      <c r="B52" s="1"/>
      <c r="C52" s="1"/>
      <c r="D52" s="1"/>
      <c r="E52" s="1"/>
      <c r="F52" s="1"/>
      <c r="G52" s="1" t="s">
        <v>42</v>
      </c>
      <c r="H52" s="69">
        <v>772.24</v>
      </c>
      <c r="I52" s="121">
        <v>302.17</v>
      </c>
      <c r="J52" s="119">
        <f>SUM(H52:I52)</f>
        <v>1074.4100000000001</v>
      </c>
      <c r="K52" s="61">
        <v>1500</v>
      </c>
      <c r="L52" s="128">
        <v>1200</v>
      </c>
      <c r="M52" s="129">
        <f t="shared" ref="M52:M59" si="11">+L52-J52</f>
        <v>125.58999999999992</v>
      </c>
      <c r="N52" s="138">
        <f t="shared" ref="N52:N59" si="12">+L52-K52</f>
        <v>-300</v>
      </c>
      <c r="P52" s="17"/>
      <c r="Q52" s="154"/>
    </row>
    <row r="53" spans="1:17" ht="14.85" customHeight="1" x14ac:dyDescent="0.25">
      <c r="A53" s="37"/>
      <c r="B53" s="1"/>
      <c r="C53" s="1"/>
      <c r="D53" s="1"/>
      <c r="E53" s="1"/>
      <c r="F53" s="1"/>
      <c r="G53" s="1" t="s">
        <v>123</v>
      </c>
      <c r="H53" s="69">
        <v>480.32</v>
      </c>
      <c r="I53" s="121">
        <v>150</v>
      </c>
      <c r="J53" s="119">
        <f>SUM(H53:I53)</f>
        <v>630.31999999999994</v>
      </c>
      <c r="K53" s="61">
        <v>1000</v>
      </c>
      <c r="L53" s="128">
        <v>950</v>
      </c>
      <c r="M53" s="129">
        <f t="shared" si="11"/>
        <v>319.68000000000006</v>
      </c>
      <c r="N53" s="138">
        <f t="shared" si="12"/>
        <v>-50</v>
      </c>
      <c r="P53" s="17"/>
      <c r="Q53" s="154"/>
    </row>
    <row r="54" spans="1:17" ht="14.85" customHeight="1" x14ac:dyDescent="0.25">
      <c r="A54" s="37"/>
      <c r="B54" s="1"/>
      <c r="C54" s="1"/>
      <c r="D54" s="1"/>
      <c r="E54" s="1"/>
      <c r="F54" s="1"/>
      <c r="G54" s="1" t="s">
        <v>43</v>
      </c>
      <c r="H54" s="69">
        <v>1480.06</v>
      </c>
      <c r="I54" s="121">
        <v>344.99</v>
      </c>
      <c r="J54" s="119">
        <f>SUM(H54:I54)</f>
        <v>1825.05</v>
      </c>
      <c r="K54" s="61">
        <v>2300</v>
      </c>
      <c r="L54" s="128">
        <f>2185+2000</f>
        <v>4185</v>
      </c>
      <c r="M54" s="129">
        <f t="shared" si="11"/>
        <v>2359.9499999999998</v>
      </c>
      <c r="N54" s="138">
        <f t="shared" si="12"/>
        <v>1885</v>
      </c>
      <c r="P54" s="153" t="s">
        <v>184</v>
      </c>
      <c r="Q54" s="154"/>
    </row>
    <row r="55" spans="1:17" ht="14.85" customHeight="1" x14ac:dyDescent="0.25">
      <c r="A55" s="37"/>
      <c r="B55" s="1"/>
      <c r="C55" s="1"/>
      <c r="D55" s="1"/>
      <c r="E55" s="1"/>
      <c r="F55" s="1"/>
      <c r="G55" s="1" t="s">
        <v>44</v>
      </c>
      <c r="H55" s="69">
        <v>140.58000000000001</v>
      </c>
      <c r="I55" s="121">
        <v>24.72</v>
      </c>
      <c r="J55" s="119">
        <f>SUM(H55:I55)</f>
        <v>165.3</v>
      </c>
      <c r="K55" s="61">
        <v>500</v>
      </c>
      <c r="L55" s="128">
        <v>500</v>
      </c>
      <c r="M55" s="129">
        <f t="shared" si="11"/>
        <v>334.7</v>
      </c>
      <c r="N55" s="138">
        <f t="shared" si="12"/>
        <v>0</v>
      </c>
      <c r="P55" s="17"/>
      <c r="Q55" s="154"/>
    </row>
    <row r="56" spans="1:17" ht="14.85" customHeight="1" x14ac:dyDescent="0.25">
      <c r="A56" s="37"/>
      <c r="B56" s="1"/>
      <c r="C56" s="1"/>
      <c r="D56" s="1"/>
      <c r="E56" s="1"/>
      <c r="F56" s="1"/>
      <c r="G56" s="1" t="s">
        <v>45</v>
      </c>
      <c r="H56" s="69">
        <v>938.01</v>
      </c>
      <c r="I56" s="121">
        <v>884.35</v>
      </c>
      <c r="J56" s="119">
        <f>SUM(H56:I56)</f>
        <v>1822.3600000000001</v>
      </c>
      <c r="K56" s="61">
        <v>1000</v>
      </c>
      <c r="L56" s="128">
        <v>2000</v>
      </c>
      <c r="M56" s="129">
        <f t="shared" si="11"/>
        <v>177.63999999999987</v>
      </c>
      <c r="N56" s="138">
        <f t="shared" si="12"/>
        <v>1000</v>
      </c>
      <c r="P56" s="17"/>
      <c r="Q56" s="154"/>
    </row>
    <row r="57" spans="1:17" ht="14.85" customHeight="1" x14ac:dyDescent="0.25">
      <c r="A57" s="37"/>
      <c r="B57" s="1"/>
      <c r="C57" s="1"/>
      <c r="D57" s="1"/>
      <c r="E57" s="1"/>
      <c r="F57" s="1"/>
      <c r="G57" s="1" t="s">
        <v>173</v>
      </c>
      <c r="H57" s="69"/>
      <c r="I57" s="121"/>
      <c r="J57" s="119"/>
      <c r="K57" s="61"/>
      <c r="L57" s="128">
        <v>1200</v>
      </c>
      <c r="M57" s="129">
        <f t="shared" si="11"/>
        <v>1200</v>
      </c>
      <c r="N57" s="138">
        <f t="shared" si="12"/>
        <v>1200</v>
      </c>
      <c r="P57" s="17"/>
      <c r="Q57" s="154"/>
    </row>
    <row r="58" spans="1:17" ht="14.85" customHeight="1" x14ac:dyDescent="0.25">
      <c r="A58" s="37"/>
      <c r="B58" s="1"/>
      <c r="C58" s="1"/>
      <c r="D58" s="1"/>
      <c r="E58" s="1"/>
      <c r="F58" s="1"/>
      <c r="G58" s="17" t="s">
        <v>46</v>
      </c>
      <c r="H58" s="69">
        <v>332.81</v>
      </c>
      <c r="I58" s="121">
        <v>232</v>
      </c>
      <c r="J58" s="119">
        <f>SUM(H58:I58)</f>
        <v>564.80999999999995</v>
      </c>
      <c r="K58" s="61">
        <v>800</v>
      </c>
      <c r="L58" s="128">
        <v>760</v>
      </c>
      <c r="M58" s="129">
        <f t="shared" si="11"/>
        <v>195.19000000000005</v>
      </c>
      <c r="N58" s="138">
        <f t="shared" si="12"/>
        <v>-40</v>
      </c>
      <c r="P58" s="17"/>
      <c r="Q58" s="154"/>
    </row>
    <row r="59" spans="1:17" ht="14.85" customHeight="1" thickBot="1" x14ac:dyDescent="0.3">
      <c r="A59" s="37"/>
      <c r="B59" s="1"/>
      <c r="C59" s="1"/>
      <c r="D59" s="1"/>
      <c r="E59" s="1"/>
      <c r="F59" s="1"/>
      <c r="G59" s="1" t="s">
        <v>110</v>
      </c>
      <c r="H59" s="70">
        <v>4779.6400000000003</v>
      </c>
      <c r="I59" s="123">
        <v>186.78</v>
      </c>
      <c r="J59" s="120">
        <f>SUM(H59:I59)</f>
        <v>4966.42</v>
      </c>
      <c r="K59" s="62">
        <v>750</v>
      </c>
      <c r="L59" s="127">
        <v>780</v>
      </c>
      <c r="M59" s="130">
        <f t="shared" si="11"/>
        <v>-4186.42</v>
      </c>
      <c r="N59" s="141">
        <f t="shared" si="12"/>
        <v>30</v>
      </c>
      <c r="P59" s="17"/>
      <c r="Q59" s="154"/>
    </row>
    <row r="60" spans="1:17" s="11" customFormat="1" ht="14.85" customHeight="1" x14ac:dyDescent="0.25">
      <c r="A60" s="37"/>
      <c r="B60" s="13"/>
      <c r="C60" s="13"/>
      <c r="D60" s="13"/>
      <c r="E60" s="13"/>
      <c r="F60" s="13" t="s">
        <v>47</v>
      </c>
      <c r="G60" s="13"/>
      <c r="H60" s="75">
        <f t="shared" ref="H60:N60" si="13">ROUND(SUM(H51:H59),5)</f>
        <v>8923.66</v>
      </c>
      <c r="I60" s="75">
        <f t="shared" si="13"/>
        <v>2125.0100000000002</v>
      </c>
      <c r="J60" s="75">
        <f t="shared" si="13"/>
        <v>11048.67</v>
      </c>
      <c r="K60" s="75">
        <f t="shared" si="13"/>
        <v>7850</v>
      </c>
      <c r="L60" s="75">
        <f t="shared" si="13"/>
        <v>11575</v>
      </c>
      <c r="M60" s="94">
        <f t="shared" si="13"/>
        <v>526.33000000000004</v>
      </c>
      <c r="N60" s="142">
        <f t="shared" si="13"/>
        <v>3725</v>
      </c>
      <c r="P60" s="17"/>
      <c r="Q60" s="17"/>
    </row>
    <row r="61" spans="1:17" ht="14.85" customHeight="1" x14ac:dyDescent="0.25">
      <c r="A61" s="37"/>
      <c r="B61" s="1"/>
      <c r="C61" s="1"/>
      <c r="D61" s="1"/>
      <c r="E61" s="1"/>
      <c r="F61" s="1" t="s">
        <v>48</v>
      </c>
      <c r="G61" s="1"/>
      <c r="H61" s="60"/>
      <c r="I61" s="60"/>
      <c r="J61" s="60"/>
      <c r="K61" s="60"/>
      <c r="L61" s="60"/>
      <c r="M61" s="95"/>
      <c r="N61" s="140"/>
      <c r="P61" s="17"/>
      <c r="Q61" s="17"/>
    </row>
    <row r="62" spans="1:17" ht="14.85" customHeight="1" x14ac:dyDescent="0.25">
      <c r="A62" s="37"/>
      <c r="B62" s="1"/>
      <c r="C62" s="1"/>
      <c r="D62" s="1"/>
      <c r="E62" s="1"/>
      <c r="F62" s="1"/>
      <c r="G62" s="1" t="s">
        <v>49</v>
      </c>
      <c r="H62" s="69">
        <v>53398.35</v>
      </c>
      <c r="I62" s="121">
        <v>17799.45</v>
      </c>
      <c r="J62" s="119">
        <f>SUM(H62:I62)</f>
        <v>71197.8</v>
      </c>
      <c r="K62" s="61">
        <v>71198</v>
      </c>
      <c r="L62" s="128">
        <v>71198</v>
      </c>
      <c r="M62" s="129">
        <f>+L62-J62</f>
        <v>0.19999999999708962</v>
      </c>
      <c r="N62" s="138">
        <f>+L62-K62</f>
        <v>0</v>
      </c>
      <c r="P62" s="17"/>
      <c r="Q62" s="17"/>
    </row>
    <row r="63" spans="1:17" ht="14.85" customHeight="1" x14ac:dyDescent="0.25">
      <c r="A63" s="37"/>
      <c r="B63" s="1"/>
      <c r="C63" s="1"/>
      <c r="D63" s="1"/>
      <c r="E63" s="1"/>
      <c r="F63" s="1"/>
      <c r="G63" s="1" t="s">
        <v>120</v>
      </c>
      <c r="H63" s="156"/>
      <c r="I63" s="121"/>
      <c r="J63" s="119"/>
      <c r="K63" s="61"/>
      <c r="L63" s="128"/>
      <c r="M63" s="129"/>
      <c r="N63" s="138"/>
      <c r="P63" s="17"/>
      <c r="Q63" s="17"/>
    </row>
    <row r="64" spans="1:17" ht="14.85" customHeight="1" thickBot="1" x14ac:dyDescent="0.3">
      <c r="A64" s="37"/>
      <c r="B64" s="1"/>
      <c r="C64" s="1"/>
      <c r="D64" s="1"/>
      <c r="E64" s="1"/>
      <c r="F64" s="1"/>
      <c r="G64" s="1" t="s">
        <v>118</v>
      </c>
      <c r="H64" s="69">
        <v>78.39</v>
      </c>
      <c r="I64" s="121">
        <v>90.5</v>
      </c>
      <c r="J64" s="119">
        <f>SUM(H64:I64)</f>
        <v>168.89</v>
      </c>
      <c r="K64" s="61">
        <v>600</v>
      </c>
      <c r="L64" s="127">
        <v>700</v>
      </c>
      <c r="M64" s="130">
        <f>+L64-J64</f>
        <v>531.11</v>
      </c>
      <c r="N64" s="141">
        <f>+L64-K64</f>
        <v>100</v>
      </c>
      <c r="P64" s="17"/>
      <c r="Q64" s="17"/>
    </row>
    <row r="65" spans="1:17" s="11" customFormat="1" ht="14.85" customHeight="1" thickBot="1" x14ac:dyDescent="0.3">
      <c r="A65" s="37"/>
      <c r="B65" s="13"/>
      <c r="C65" s="13"/>
      <c r="D65" s="13"/>
      <c r="E65" s="13"/>
      <c r="F65" s="13" t="s">
        <v>50</v>
      </c>
      <c r="G65" s="13"/>
      <c r="H65" s="77">
        <f t="shared" ref="H65:N65" si="14">ROUND(SUM(H61:H64),5)</f>
        <v>53476.74</v>
      </c>
      <c r="I65" s="77">
        <f t="shared" si="14"/>
        <v>17889.95</v>
      </c>
      <c r="J65" s="77">
        <f t="shared" si="14"/>
        <v>71366.69</v>
      </c>
      <c r="K65" s="77">
        <f t="shared" si="14"/>
        <v>71798</v>
      </c>
      <c r="L65" s="78">
        <f t="shared" si="14"/>
        <v>71898</v>
      </c>
      <c r="M65" s="97">
        <f t="shared" si="14"/>
        <v>531.30999999999995</v>
      </c>
      <c r="N65" s="143">
        <f t="shared" si="14"/>
        <v>100</v>
      </c>
      <c r="P65" s="17"/>
      <c r="Q65" s="17"/>
    </row>
    <row r="66" spans="1:17" s="11" customFormat="1" ht="14.85" customHeight="1" thickBot="1" x14ac:dyDescent="0.3">
      <c r="A66" s="37"/>
      <c r="B66" s="34"/>
      <c r="C66" s="34"/>
      <c r="D66" s="34"/>
      <c r="E66" s="34" t="s">
        <v>51</v>
      </c>
      <c r="F66" s="34"/>
      <c r="G66" s="34"/>
      <c r="H66" s="79">
        <f t="shared" ref="H66:N66" si="15">ROUND(H17+H35+H45+H50+H60+H65,5)</f>
        <v>448491.8</v>
      </c>
      <c r="I66" s="79">
        <f t="shared" si="15"/>
        <v>155207.82999999999</v>
      </c>
      <c r="J66" s="79">
        <f t="shared" si="15"/>
        <v>603699.63</v>
      </c>
      <c r="K66" s="79">
        <f t="shared" si="15"/>
        <v>669191</v>
      </c>
      <c r="L66" s="80">
        <f t="shared" si="15"/>
        <v>626242</v>
      </c>
      <c r="M66" s="98">
        <f t="shared" si="15"/>
        <v>22542.37</v>
      </c>
      <c r="N66" s="144">
        <f t="shared" si="15"/>
        <v>-42949</v>
      </c>
      <c r="P66" s="17"/>
      <c r="Q66" s="17"/>
    </row>
    <row r="67" spans="1:17" ht="19.5" customHeight="1" x14ac:dyDescent="0.25">
      <c r="A67" s="37"/>
      <c r="B67" s="1"/>
      <c r="C67" s="1"/>
      <c r="D67" s="1"/>
      <c r="E67" s="1" t="s">
        <v>52</v>
      </c>
      <c r="F67" s="1"/>
      <c r="G67" s="1"/>
      <c r="H67" s="60"/>
      <c r="I67" s="60"/>
      <c r="J67" s="60"/>
      <c r="K67" s="60"/>
      <c r="L67" s="60"/>
      <c r="M67" s="95"/>
      <c r="N67" s="140"/>
      <c r="P67" s="17"/>
      <c r="Q67" s="17"/>
    </row>
    <row r="68" spans="1:17" ht="14.85" customHeight="1" x14ac:dyDescent="0.25">
      <c r="A68" s="37"/>
      <c r="B68" s="1"/>
      <c r="C68" s="1"/>
      <c r="D68" s="1"/>
      <c r="E68" s="1"/>
      <c r="F68" s="1" t="s">
        <v>53</v>
      </c>
      <c r="G68" s="1"/>
      <c r="H68" s="60"/>
      <c r="I68" s="60"/>
      <c r="J68" s="60"/>
      <c r="K68" s="60"/>
      <c r="L68" s="60"/>
      <c r="M68" s="95"/>
      <c r="N68" s="140"/>
      <c r="P68" s="17"/>
      <c r="Q68" s="17"/>
    </row>
    <row r="69" spans="1:17" ht="14.85" customHeight="1" thickBot="1" x14ac:dyDescent="0.3">
      <c r="A69" s="37"/>
      <c r="B69" s="1"/>
      <c r="C69" s="1"/>
      <c r="D69" s="1"/>
      <c r="E69" s="1"/>
      <c r="F69" s="1"/>
      <c r="G69" s="1" t="s">
        <v>54</v>
      </c>
      <c r="H69" s="70">
        <v>1707.05</v>
      </c>
      <c r="I69" s="123">
        <v>657.42</v>
      </c>
      <c r="J69" s="120">
        <f>SUM(H69:I69)</f>
        <v>2364.4699999999998</v>
      </c>
      <c r="K69" s="62">
        <v>2250</v>
      </c>
      <c r="L69" s="127">
        <v>1300</v>
      </c>
      <c r="M69" s="130">
        <f>+L69-J69</f>
        <v>-1064.4699999999998</v>
      </c>
      <c r="N69" s="141">
        <f>+L69-K69</f>
        <v>-950</v>
      </c>
      <c r="P69" s="17"/>
      <c r="Q69" s="17"/>
    </row>
    <row r="70" spans="1:17" s="11" customFormat="1" ht="14.85" customHeight="1" x14ac:dyDescent="0.25">
      <c r="A70" s="37"/>
      <c r="B70" s="13"/>
      <c r="C70" s="13"/>
      <c r="D70" s="13"/>
      <c r="E70" s="13"/>
      <c r="F70" s="13" t="s">
        <v>55</v>
      </c>
      <c r="G70" s="13"/>
      <c r="H70" s="75">
        <f t="shared" ref="H70:N70" si="16">ROUND(SUM(H68:H69),5)</f>
        <v>1707.05</v>
      </c>
      <c r="I70" s="75">
        <f t="shared" si="16"/>
        <v>657.42</v>
      </c>
      <c r="J70" s="75">
        <f t="shared" si="16"/>
        <v>2364.4699999999998</v>
      </c>
      <c r="K70" s="75">
        <f t="shared" si="16"/>
        <v>2250</v>
      </c>
      <c r="L70" s="75">
        <f t="shared" si="16"/>
        <v>1300</v>
      </c>
      <c r="M70" s="94">
        <f t="shared" si="16"/>
        <v>-1064.47</v>
      </c>
      <c r="N70" s="142">
        <f t="shared" si="16"/>
        <v>-950</v>
      </c>
      <c r="P70" s="17"/>
      <c r="Q70" s="17"/>
    </row>
    <row r="71" spans="1:17" s="11" customFormat="1" ht="14.85" customHeight="1" x14ac:dyDescent="0.25">
      <c r="A71" s="37"/>
      <c r="B71" s="37"/>
      <c r="C71" s="37"/>
      <c r="D71" s="37"/>
      <c r="F71" s="1" t="s">
        <v>114</v>
      </c>
      <c r="G71" s="1"/>
      <c r="H71" s="74"/>
      <c r="I71" s="74"/>
      <c r="J71" s="74"/>
      <c r="K71" s="74"/>
      <c r="L71" s="74"/>
      <c r="M71" s="99"/>
      <c r="N71" s="145"/>
      <c r="P71" s="17"/>
      <c r="Q71" s="17"/>
    </row>
    <row r="72" spans="1:17" s="11" customFormat="1" ht="14.85" customHeight="1" x14ac:dyDescent="0.25">
      <c r="A72" s="37"/>
      <c r="B72" s="37"/>
      <c r="C72" s="37"/>
      <c r="D72" s="37"/>
      <c r="E72" s="37"/>
      <c r="F72" s="37"/>
      <c r="G72" s="1" t="s">
        <v>115</v>
      </c>
      <c r="H72" s="69">
        <v>319.91000000000003</v>
      </c>
      <c r="I72" s="121">
        <v>38.26</v>
      </c>
      <c r="J72" s="119">
        <f>SUM(H72:I72)</f>
        <v>358.17</v>
      </c>
      <c r="K72" s="61">
        <v>5000</v>
      </c>
      <c r="L72" s="128">
        <f>3000-2000</f>
        <v>1000</v>
      </c>
      <c r="M72" s="129">
        <f>+L72-J72</f>
        <v>641.82999999999993</v>
      </c>
      <c r="N72" s="138">
        <f>+L72-K72</f>
        <v>-4000</v>
      </c>
      <c r="P72" s="17"/>
      <c r="Q72" s="17"/>
    </row>
    <row r="73" spans="1:17" s="11" customFormat="1" ht="14.85" customHeight="1" thickBot="1" x14ac:dyDescent="0.3">
      <c r="A73" s="37"/>
      <c r="B73" s="37"/>
      <c r="C73" s="37"/>
      <c r="D73" s="37"/>
      <c r="E73" s="37"/>
      <c r="F73" s="37"/>
      <c r="G73" s="155" t="s">
        <v>116</v>
      </c>
      <c r="H73" s="70"/>
      <c r="I73" s="123"/>
      <c r="J73" s="120"/>
      <c r="K73" s="62"/>
      <c r="L73" s="127"/>
      <c r="M73" s="130"/>
      <c r="N73" s="141"/>
      <c r="P73" s="17"/>
      <c r="Q73" s="17"/>
    </row>
    <row r="74" spans="1:17" s="11" customFormat="1" ht="14.85" customHeight="1" x14ac:dyDescent="0.25">
      <c r="A74" s="37"/>
      <c r="B74" s="13"/>
      <c r="C74" s="13"/>
      <c r="D74" s="13"/>
      <c r="E74" s="13"/>
      <c r="F74" s="13" t="s">
        <v>112</v>
      </c>
      <c r="G74" s="13"/>
      <c r="H74" s="75">
        <f t="shared" ref="H74:N74" si="17">ROUND(SUM(H71:H73),5)</f>
        <v>319.91000000000003</v>
      </c>
      <c r="I74" s="75">
        <f t="shared" si="17"/>
        <v>38.26</v>
      </c>
      <c r="J74" s="75">
        <f t="shared" si="17"/>
        <v>358.17</v>
      </c>
      <c r="K74" s="75">
        <f t="shared" si="17"/>
        <v>5000</v>
      </c>
      <c r="L74" s="75">
        <f t="shared" si="17"/>
        <v>1000</v>
      </c>
      <c r="M74" s="94">
        <f t="shared" si="17"/>
        <v>641.83000000000004</v>
      </c>
      <c r="N74" s="142">
        <f t="shared" si="17"/>
        <v>-4000</v>
      </c>
      <c r="P74" s="17"/>
      <c r="Q74" s="17"/>
    </row>
    <row r="75" spans="1:17" ht="14.85" customHeight="1" x14ac:dyDescent="0.25">
      <c r="A75" s="37"/>
      <c r="B75" s="1"/>
      <c r="C75" s="1"/>
      <c r="D75" s="1"/>
      <c r="E75" s="1"/>
      <c r="F75" s="1" t="s">
        <v>56</v>
      </c>
      <c r="G75" s="1"/>
      <c r="H75" s="60"/>
      <c r="I75" s="60"/>
      <c r="J75" s="60"/>
      <c r="K75" s="60"/>
      <c r="L75" s="60"/>
      <c r="M75" s="95"/>
      <c r="N75" s="140"/>
      <c r="P75" s="17"/>
      <c r="Q75" s="17"/>
    </row>
    <row r="76" spans="1:17" ht="14.85" customHeight="1" x14ac:dyDescent="0.25">
      <c r="A76" s="37"/>
      <c r="B76" s="1"/>
      <c r="C76" s="1"/>
      <c r="D76" s="1"/>
      <c r="E76" s="1"/>
      <c r="F76" s="1"/>
      <c r="G76" s="1" t="s">
        <v>99</v>
      </c>
      <c r="H76" s="69">
        <v>2556.52</v>
      </c>
      <c r="I76" s="121">
        <v>2261.7199999999998</v>
      </c>
      <c r="J76" s="119">
        <f>SUM(H76:I76)</f>
        <v>4818.24</v>
      </c>
      <c r="K76" s="61">
        <v>4100</v>
      </c>
      <c r="L76" s="128">
        <v>0</v>
      </c>
      <c r="M76" s="129">
        <f>+L76-J76</f>
        <v>-4818.24</v>
      </c>
      <c r="N76" s="138">
        <f>+L76-K76</f>
        <v>-4100</v>
      </c>
      <c r="P76" s="17"/>
      <c r="Q76" s="17"/>
    </row>
    <row r="77" spans="1:17" ht="14.85" customHeight="1" x14ac:dyDescent="0.25">
      <c r="A77" s="37"/>
      <c r="B77" s="1"/>
      <c r="C77" s="1"/>
      <c r="D77" s="1"/>
      <c r="E77" s="1"/>
      <c r="F77" s="1"/>
      <c r="G77" s="1" t="s">
        <v>100</v>
      </c>
      <c r="H77" s="69">
        <v>2328.13</v>
      </c>
      <c r="I77" s="121">
        <v>-135</v>
      </c>
      <c r="J77" s="119">
        <f>SUM(H77:I77)</f>
        <v>2193.13</v>
      </c>
      <c r="K77" s="131">
        <v>7700</v>
      </c>
      <c r="L77" s="128">
        <f>8300+2500</f>
        <v>10800</v>
      </c>
      <c r="M77" s="129">
        <f>+L77-J77</f>
        <v>8606.869999999999</v>
      </c>
      <c r="N77" s="138">
        <f>+L77-K77</f>
        <v>3100</v>
      </c>
      <c r="P77" s="153" t="s">
        <v>179</v>
      </c>
      <c r="Q77" s="17"/>
    </row>
    <row r="78" spans="1:17" ht="14.85" customHeight="1" x14ac:dyDescent="0.25">
      <c r="A78" s="37"/>
      <c r="B78" s="1"/>
      <c r="C78" s="1"/>
      <c r="D78" s="1"/>
      <c r="E78" s="1"/>
      <c r="F78" s="1"/>
      <c r="G78" s="1" t="s">
        <v>174</v>
      </c>
      <c r="H78" s="69"/>
      <c r="I78" s="121"/>
      <c r="J78" s="119"/>
      <c r="K78" s="131"/>
      <c r="L78" s="128">
        <v>1000</v>
      </c>
      <c r="M78" s="129">
        <f>+L78-J78</f>
        <v>1000</v>
      </c>
      <c r="N78" s="138">
        <f>+L78-K78</f>
        <v>1000</v>
      </c>
      <c r="P78" s="153"/>
      <c r="Q78" s="17"/>
    </row>
    <row r="79" spans="1:17" ht="14.85" customHeight="1" thickBot="1" x14ac:dyDescent="0.3">
      <c r="A79" s="37"/>
      <c r="B79" s="1"/>
      <c r="C79" s="1"/>
      <c r="D79" s="1"/>
      <c r="E79" s="1"/>
      <c r="F79" s="1"/>
      <c r="G79" s="1" t="s">
        <v>176</v>
      </c>
      <c r="H79" s="70">
        <v>689.87</v>
      </c>
      <c r="I79" s="123">
        <v>339.63</v>
      </c>
      <c r="J79" s="120">
        <f>SUM(H79:I79)</f>
        <v>1029.5</v>
      </c>
      <c r="K79" s="62">
        <v>2000</v>
      </c>
      <c r="L79" s="127">
        <v>1200</v>
      </c>
      <c r="M79" s="130">
        <f>+L79-J79</f>
        <v>170.5</v>
      </c>
      <c r="N79" s="141">
        <f>+L79-K79</f>
        <v>-800</v>
      </c>
      <c r="P79" s="153"/>
      <c r="Q79" s="17"/>
    </row>
    <row r="80" spans="1:17" s="11" customFormat="1" ht="14.85" customHeight="1" x14ac:dyDescent="0.25">
      <c r="A80" s="37"/>
      <c r="B80" s="13"/>
      <c r="C80" s="13"/>
      <c r="D80" s="13"/>
      <c r="E80" s="13"/>
      <c r="F80" s="13" t="s">
        <v>57</v>
      </c>
      <c r="G80" s="13"/>
      <c r="H80" s="75">
        <f t="shared" ref="H80:N80" si="18">ROUND(SUM(H75:H79),5)</f>
        <v>5574.52</v>
      </c>
      <c r="I80" s="75">
        <f t="shared" si="18"/>
        <v>2466.35</v>
      </c>
      <c r="J80" s="75">
        <f t="shared" si="18"/>
        <v>8040.87</v>
      </c>
      <c r="K80" s="75">
        <f t="shared" si="18"/>
        <v>13800</v>
      </c>
      <c r="L80" s="75">
        <f t="shared" si="18"/>
        <v>13000</v>
      </c>
      <c r="M80" s="94">
        <f t="shared" si="18"/>
        <v>4959.13</v>
      </c>
      <c r="N80" s="142">
        <f t="shared" si="18"/>
        <v>-800</v>
      </c>
      <c r="P80" s="17"/>
      <c r="Q80" s="17"/>
    </row>
    <row r="81" spans="1:17" ht="14.85" customHeight="1" x14ac:dyDescent="0.25">
      <c r="A81" s="37"/>
      <c r="B81" s="1"/>
      <c r="C81" s="1"/>
      <c r="D81" s="1"/>
      <c r="E81" s="1"/>
      <c r="F81" s="1" t="s">
        <v>58</v>
      </c>
      <c r="G81" s="1"/>
      <c r="H81" s="60"/>
      <c r="I81" s="60"/>
      <c r="J81" s="60"/>
      <c r="K81" s="60"/>
      <c r="L81" s="60"/>
      <c r="M81" s="95"/>
      <c r="N81" s="140"/>
      <c r="P81" s="17"/>
      <c r="Q81" s="17"/>
    </row>
    <row r="82" spans="1:17" ht="14.85" customHeight="1" x14ac:dyDescent="0.25">
      <c r="A82" s="37"/>
      <c r="B82" s="1"/>
      <c r="C82" s="1"/>
      <c r="D82" s="1"/>
      <c r="E82" s="1"/>
      <c r="F82" s="1"/>
      <c r="G82" s="152" t="s">
        <v>175</v>
      </c>
      <c r="H82" s="69">
        <v>705.8</v>
      </c>
      <c r="I82" s="121">
        <v>191.06</v>
      </c>
      <c r="J82" s="119">
        <f t="shared" ref="J82:J87" si="19">SUM(H82:I82)</f>
        <v>896.8599999999999</v>
      </c>
      <c r="K82" s="61">
        <v>1230</v>
      </c>
      <c r="L82" s="128">
        <v>1200</v>
      </c>
      <c r="M82" s="129">
        <f t="shared" ref="M82:M87" si="20">+L82-J82</f>
        <v>303.1400000000001</v>
      </c>
      <c r="N82" s="138">
        <f t="shared" ref="N82:N87" si="21">+L82-K82</f>
        <v>-30</v>
      </c>
      <c r="P82" s="17" t="s">
        <v>164</v>
      </c>
      <c r="Q82" s="17"/>
    </row>
    <row r="83" spans="1:17" ht="14.85" customHeight="1" x14ac:dyDescent="0.25">
      <c r="A83" s="37"/>
      <c r="B83" s="1"/>
      <c r="C83" s="1"/>
      <c r="D83" s="1"/>
      <c r="E83" s="1"/>
      <c r="F83" s="1"/>
      <c r="G83" s="152" t="s">
        <v>165</v>
      </c>
      <c r="H83" s="69">
        <v>238.66</v>
      </c>
      <c r="I83" s="121">
        <v>7.9</v>
      </c>
      <c r="J83" s="119">
        <f t="shared" si="19"/>
        <v>246.56</v>
      </c>
      <c r="K83" s="61">
        <v>1640</v>
      </c>
      <c r="L83" s="128">
        <v>2000</v>
      </c>
      <c r="M83" s="129">
        <f t="shared" si="20"/>
        <v>1753.44</v>
      </c>
      <c r="N83" s="138">
        <f t="shared" si="21"/>
        <v>360</v>
      </c>
      <c r="P83" s="17" t="s">
        <v>159</v>
      </c>
      <c r="Q83" s="17"/>
    </row>
    <row r="84" spans="1:17" ht="14.85" customHeight="1" x14ac:dyDescent="0.25">
      <c r="A84" s="37"/>
      <c r="B84" s="1"/>
      <c r="C84" s="1"/>
      <c r="D84" s="1"/>
      <c r="E84" s="1"/>
      <c r="F84" s="1"/>
      <c r="G84" s="152" t="s">
        <v>169</v>
      </c>
      <c r="H84" s="69">
        <v>51.72</v>
      </c>
      <c r="I84" s="121">
        <v>100.25</v>
      </c>
      <c r="J84" s="119">
        <f t="shared" si="19"/>
        <v>151.97</v>
      </c>
      <c r="K84" s="61">
        <v>210</v>
      </c>
      <c r="L84" s="128">
        <v>1200</v>
      </c>
      <c r="M84" s="129">
        <f t="shared" si="20"/>
        <v>1048.03</v>
      </c>
      <c r="N84" s="138">
        <f t="shared" si="21"/>
        <v>990</v>
      </c>
      <c r="P84" s="17" t="s">
        <v>160</v>
      </c>
      <c r="Q84" s="17"/>
    </row>
    <row r="85" spans="1:17" ht="14.85" customHeight="1" x14ac:dyDescent="0.25">
      <c r="A85" s="37"/>
      <c r="B85" s="1"/>
      <c r="C85" s="1"/>
      <c r="D85" s="1"/>
      <c r="E85" s="1"/>
      <c r="F85" s="1"/>
      <c r="G85" s="152" t="s">
        <v>166</v>
      </c>
      <c r="H85" s="69">
        <v>744.67</v>
      </c>
      <c r="I85" s="121">
        <v>7.7</v>
      </c>
      <c r="J85" s="119">
        <f t="shared" si="19"/>
        <v>752.37</v>
      </c>
      <c r="K85" s="61">
        <v>2050</v>
      </c>
      <c r="L85" s="128">
        <v>1200</v>
      </c>
      <c r="M85" s="129">
        <f t="shared" si="20"/>
        <v>447.63</v>
      </c>
      <c r="N85" s="138">
        <f t="shared" si="21"/>
        <v>-850</v>
      </c>
      <c r="P85" s="17" t="s">
        <v>161</v>
      </c>
      <c r="Q85" s="17"/>
    </row>
    <row r="86" spans="1:17" ht="14.85" customHeight="1" x14ac:dyDescent="0.25">
      <c r="A86" s="37"/>
      <c r="B86" s="1"/>
      <c r="C86" s="1"/>
      <c r="D86" s="1"/>
      <c r="E86" s="1"/>
      <c r="F86" s="1"/>
      <c r="G86" s="152" t="s">
        <v>167</v>
      </c>
      <c r="H86" s="69">
        <v>380.7</v>
      </c>
      <c r="I86" s="121">
        <v>320.06</v>
      </c>
      <c r="J86" s="119">
        <f t="shared" si="19"/>
        <v>700.76</v>
      </c>
      <c r="K86" s="61">
        <v>820</v>
      </c>
      <c r="L86" s="128">
        <v>800</v>
      </c>
      <c r="M86" s="129">
        <f t="shared" si="20"/>
        <v>99.240000000000009</v>
      </c>
      <c r="N86" s="138">
        <f t="shared" si="21"/>
        <v>-20</v>
      </c>
      <c r="P86" s="17" t="s">
        <v>162</v>
      </c>
      <c r="Q86" s="17"/>
    </row>
    <row r="87" spans="1:17" ht="14.85" customHeight="1" thickBot="1" x14ac:dyDescent="0.3">
      <c r="A87" s="37"/>
      <c r="B87" s="1"/>
      <c r="C87" s="1"/>
      <c r="D87" s="1"/>
      <c r="E87" s="1"/>
      <c r="F87" s="1"/>
      <c r="G87" s="152" t="s">
        <v>168</v>
      </c>
      <c r="H87" s="70">
        <v>770.1</v>
      </c>
      <c r="I87" s="123">
        <v>157.97999999999999</v>
      </c>
      <c r="J87" s="120">
        <f t="shared" si="19"/>
        <v>928.08</v>
      </c>
      <c r="K87" s="62">
        <v>2050</v>
      </c>
      <c r="L87" s="127">
        <v>2000</v>
      </c>
      <c r="M87" s="130">
        <f t="shared" si="20"/>
        <v>1071.92</v>
      </c>
      <c r="N87" s="141">
        <f t="shared" si="21"/>
        <v>-50</v>
      </c>
      <c r="P87" s="17" t="s">
        <v>163</v>
      </c>
      <c r="Q87" s="17"/>
    </row>
    <row r="88" spans="1:17" s="11" customFormat="1" ht="14.85" customHeight="1" x14ac:dyDescent="0.25">
      <c r="A88" s="37"/>
      <c r="B88" s="13"/>
      <c r="C88" s="13"/>
      <c r="D88" s="13"/>
      <c r="E88" s="13"/>
      <c r="F88" s="13" t="s">
        <v>64</v>
      </c>
      <c r="G88" s="13"/>
      <c r="H88" s="75">
        <f t="shared" ref="H88:N88" si="22">ROUND(SUM(H81:H87),5)</f>
        <v>2891.65</v>
      </c>
      <c r="I88" s="75">
        <f t="shared" si="22"/>
        <v>784.95</v>
      </c>
      <c r="J88" s="75">
        <f t="shared" si="22"/>
        <v>3676.6</v>
      </c>
      <c r="K88" s="75">
        <f t="shared" si="22"/>
        <v>8000</v>
      </c>
      <c r="L88" s="75">
        <f t="shared" si="22"/>
        <v>8400</v>
      </c>
      <c r="M88" s="94">
        <f t="shared" si="22"/>
        <v>4723.3999999999996</v>
      </c>
      <c r="N88" s="142">
        <f t="shared" si="22"/>
        <v>400</v>
      </c>
      <c r="P88" s="17"/>
      <c r="Q88" s="17"/>
    </row>
    <row r="89" spans="1:17" ht="14.45" customHeight="1" x14ac:dyDescent="0.25">
      <c r="A89" s="37"/>
      <c r="B89" s="1"/>
      <c r="C89" s="1"/>
      <c r="D89" s="1"/>
      <c r="E89" s="1"/>
      <c r="F89" s="1" t="s">
        <v>65</v>
      </c>
      <c r="G89" s="1"/>
      <c r="H89" s="60"/>
      <c r="I89" s="60"/>
      <c r="J89" s="60"/>
      <c r="K89" s="60"/>
      <c r="L89" s="60"/>
      <c r="M89" s="95"/>
      <c r="N89" s="140"/>
      <c r="P89" s="17"/>
      <c r="Q89" s="17"/>
    </row>
    <row r="90" spans="1:17" ht="14.45" customHeight="1" x14ac:dyDescent="0.25">
      <c r="A90" s="37"/>
      <c r="B90" s="1"/>
      <c r="C90" s="1"/>
      <c r="D90" s="1"/>
      <c r="E90" s="1"/>
      <c r="F90" s="1"/>
      <c r="G90" s="1" t="s">
        <v>66</v>
      </c>
      <c r="H90" s="69">
        <v>1347.2</v>
      </c>
      <c r="I90" s="121">
        <f>4600+2250</f>
        <v>6850</v>
      </c>
      <c r="J90" s="119">
        <f>SUM(H90:I90)</f>
        <v>8197.2000000000007</v>
      </c>
      <c r="K90" s="61">
        <v>9300</v>
      </c>
      <c r="L90" s="128">
        <v>3000</v>
      </c>
      <c r="M90" s="129">
        <f t="shared" ref="M90:M100" si="23">+L90-J90</f>
        <v>-5197.2000000000007</v>
      </c>
      <c r="N90" s="138">
        <f t="shared" ref="N90:N100" si="24">+L90-K90</f>
        <v>-6300</v>
      </c>
      <c r="P90" s="17"/>
      <c r="Q90" s="17"/>
    </row>
    <row r="91" spans="1:17" ht="14.45" customHeight="1" x14ac:dyDescent="0.25">
      <c r="A91" s="37"/>
      <c r="B91" s="1"/>
      <c r="C91" s="1"/>
      <c r="D91" s="1"/>
      <c r="E91" s="1"/>
      <c r="F91" s="1"/>
      <c r="G91" s="93" t="s">
        <v>141</v>
      </c>
      <c r="H91" s="69"/>
      <c r="I91" s="121"/>
      <c r="J91" s="119"/>
      <c r="K91" s="61"/>
      <c r="L91" s="128">
        <v>3600</v>
      </c>
      <c r="M91" s="129">
        <f t="shared" si="23"/>
        <v>3600</v>
      </c>
      <c r="N91" s="138">
        <f t="shared" si="24"/>
        <v>3600</v>
      </c>
      <c r="P91" s="17"/>
      <c r="Q91" s="17"/>
    </row>
    <row r="92" spans="1:17" ht="14.45" customHeight="1" x14ac:dyDescent="0.25">
      <c r="A92" s="37"/>
      <c r="B92" s="1"/>
      <c r="C92" s="1"/>
      <c r="D92" s="1"/>
      <c r="E92" s="1"/>
      <c r="F92" s="1"/>
      <c r="G92" s="93" t="s">
        <v>142</v>
      </c>
      <c r="H92" s="69"/>
      <c r="I92" s="121"/>
      <c r="J92" s="119"/>
      <c r="K92" s="61"/>
      <c r="L92" s="128">
        <v>2400</v>
      </c>
      <c r="M92" s="129">
        <f t="shared" si="23"/>
        <v>2400</v>
      </c>
      <c r="N92" s="138">
        <f t="shared" si="24"/>
        <v>2400</v>
      </c>
      <c r="P92" s="17"/>
      <c r="Q92" s="17"/>
    </row>
    <row r="93" spans="1:17" ht="14.45" customHeight="1" x14ac:dyDescent="0.25">
      <c r="A93" s="37"/>
      <c r="B93" s="1"/>
      <c r="C93" s="1"/>
      <c r="D93" s="1"/>
      <c r="E93" s="1"/>
      <c r="F93" s="1"/>
      <c r="G93" s="155" t="s">
        <v>101</v>
      </c>
      <c r="H93" s="69">
        <v>2400</v>
      </c>
      <c r="I93" s="121">
        <v>900</v>
      </c>
      <c r="J93" s="119">
        <f t="shared" ref="J93:J100" si="25">SUM(H93:I93)</f>
        <v>3300</v>
      </c>
      <c r="K93" s="61">
        <v>3600</v>
      </c>
      <c r="L93" s="128">
        <v>0</v>
      </c>
      <c r="M93" s="129">
        <f t="shared" si="23"/>
        <v>-3300</v>
      </c>
      <c r="N93" s="138">
        <f t="shared" si="24"/>
        <v>-3600</v>
      </c>
      <c r="P93" s="17"/>
      <c r="Q93" s="17"/>
    </row>
    <row r="94" spans="1:17" ht="14.45" customHeight="1" x14ac:dyDescent="0.25">
      <c r="A94" s="37"/>
      <c r="B94" s="1"/>
      <c r="C94" s="1"/>
      <c r="D94" s="1"/>
      <c r="E94" s="1"/>
      <c r="F94" s="1"/>
      <c r="G94" s="1" t="s">
        <v>67</v>
      </c>
      <c r="H94" s="69">
        <v>28620</v>
      </c>
      <c r="I94" s="121">
        <v>9081</v>
      </c>
      <c r="J94" s="119">
        <f t="shared" si="25"/>
        <v>37701</v>
      </c>
      <c r="K94" s="61">
        <v>38160</v>
      </c>
      <c r="L94" s="128">
        <v>36252</v>
      </c>
      <c r="M94" s="129">
        <f t="shared" si="23"/>
        <v>-1449</v>
      </c>
      <c r="N94" s="138">
        <f t="shared" si="24"/>
        <v>-1908</v>
      </c>
      <c r="P94" s="17"/>
      <c r="Q94" s="17"/>
    </row>
    <row r="95" spans="1:17" ht="14.45" customHeight="1" x14ac:dyDescent="0.25">
      <c r="A95" s="37"/>
      <c r="B95" s="1"/>
      <c r="C95" s="1"/>
      <c r="D95" s="1"/>
      <c r="E95" s="1"/>
      <c r="F95" s="1"/>
      <c r="G95" s="1" t="s">
        <v>68</v>
      </c>
      <c r="H95" s="69">
        <v>46035</v>
      </c>
      <c r="I95" s="121">
        <v>15346</v>
      </c>
      <c r="J95" s="119">
        <f t="shared" si="25"/>
        <v>61381</v>
      </c>
      <c r="K95" s="61">
        <v>61381</v>
      </c>
      <c r="L95" s="128">
        <v>58312</v>
      </c>
      <c r="M95" s="129">
        <f t="shared" si="23"/>
        <v>-3069</v>
      </c>
      <c r="N95" s="138">
        <f t="shared" si="24"/>
        <v>-3069</v>
      </c>
      <c r="P95" s="23"/>
      <c r="Q95" s="23"/>
    </row>
    <row r="96" spans="1:17" ht="14.45" customHeight="1" x14ac:dyDescent="0.25">
      <c r="A96" s="37"/>
      <c r="B96" s="1"/>
      <c r="C96" s="1"/>
      <c r="D96" s="1"/>
      <c r="E96" s="1"/>
      <c r="F96" s="1"/>
      <c r="G96" s="1" t="s">
        <v>69</v>
      </c>
      <c r="H96" s="69">
        <v>3150</v>
      </c>
      <c r="I96" s="121">
        <v>1050</v>
      </c>
      <c r="J96" s="119">
        <f t="shared" si="25"/>
        <v>4200</v>
      </c>
      <c r="K96" s="61">
        <v>4200</v>
      </c>
      <c r="L96" s="128">
        <v>3990</v>
      </c>
      <c r="M96" s="129">
        <f t="shared" si="23"/>
        <v>-210</v>
      </c>
      <c r="N96" s="138">
        <f t="shared" si="24"/>
        <v>-210</v>
      </c>
      <c r="P96" s="23"/>
      <c r="Q96" s="23"/>
    </row>
    <row r="97" spans="1:17" ht="14.45" customHeight="1" x14ac:dyDescent="0.25">
      <c r="A97" s="37"/>
      <c r="B97" s="1"/>
      <c r="C97" s="1"/>
      <c r="D97" s="1"/>
      <c r="E97" s="1"/>
      <c r="F97" s="1"/>
      <c r="G97" s="1" t="s">
        <v>70</v>
      </c>
      <c r="H97" s="69">
        <v>10953</v>
      </c>
      <c r="I97" s="121">
        <v>3647</v>
      </c>
      <c r="J97" s="119">
        <f t="shared" si="25"/>
        <v>14600</v>
      </c>
      <c r="K97" s="61">
        <v>14600</v>
      </c>
      <c r="L97" s="128">
        <v>15000</v>
      </c>
      <c r="M97" s="129">
        <f t="shared" si="23"/>
        <v>400</v>
      </c>
      <c r="N97" s="138">
        <f t="shared" si="24"/>
        <v>400</v>
      </c>
      <c r="P97" s="5"/>
      <c r="Q97" s="5"/>
    </row>
    <row r="98" spans="1:17" ht="14.45" customHeight="1" x14ac:dyDescent="0.25">
      <c r="A98" s="37"/>
      <c r="B98" s="1"/>
      <c r="C98" s="1"/>
      <c r="D98" s="1"/>
      <c r="E98" s="1"/>
      <c r="F98" s="1"/>
      <c r="G98" s="1" t="s">
        <v>119</v>
      </c>
      <c r="H98" s="69">
        <v>10494</v>
      </c>
      <c r="I98" s="121">
        <f>1166+1166+1166+8</f>
        <v>3506</v>
      </c>
      <c r="J98" s="119">
        <f t="shared" si="25"/>
        <v>14000</v>
      </c>
      <c r="K98" s="61">
        <v>14000</v>
      </c>
      <c r="L98" s="128">
        <v>13200</v>
      </c>
      <c r="M98" s="129">
        <f t="shared" si="23"/>
        <v>-800</v>
      </c>
      <c r="N98" s="138">
        <f t="shared" si="24"/>
        <v>-800</v>
      </c>
      <c r="P98" s="17"/>
      <c r="Q98" s="17"/>
    </row>
    <row r="99" spans="1:17" ht="14.45" customHeight="1" x14ac:dyDescent="0.25">
      <c r="A99" s="37"/>
      <c r="B99" s="1"/>
      <c r="C99" s="1"/>
      <c r="D99" s="1"/>
      <c r="E99" s="1"/>
      <c r="F99" s="1"/>
      <c r="G99" s="1" t="s">
        <v>107</v>
      </c>
      <c r="H99" s="67">
        <v>8000</v>
      </c>
      <c r="I99" s="121">
        <v>0</v>
      </c>
      <c r="J99" s="119">
        <f t="shared" si="25"/>
        <v>8000</v>
      </c>
      <c r="K99" s="61">
        <v>8000</v>
      </c>
      <c r="L99" s="128">
        <v>9000</v>
      </c>
      <c r="M99" s="129">
        <f t="shared" si="23"/>
        <v>1000</v>
      </c>
      <c r="N99" s="138">
        <f t="shared" si="24"/>
        <v>1000</v>
      </c>
      <c r="P99" s="17"/>
      <c r="Q99" s="17"/>
    </row>
    <row r="100" spans="1:17" ht="14.45" customHeight="1" thickBot="1" x14ac:dyDescent="0.3">
      <c r="A100" s="37"/>
      <c r="B100" s="1"/>
      <c r="C100" s="1"/>
      <c r="D100" s="1"/>
      <c r="E100" s="1"/>
      <c r="F100" s="1"/>
      <c r="G100" s="1" t="s">
        <v>170</v>
      </c>
      <c r="H100" s="70">
        <v>2610</v>
      </c>
      <c r="I100" s="123">
        <v>750</v>
      </c>
      <c r="J100" s="120">
        <f t="shared" si="25"/>
        <v>3360</v>
      </c>
      <c r="K100" s="62">
        <v>3000</v>
      </c>
      <c r="L100" s="127">
        <v>1500</v>
      </c>
      <c r="M100" s="130">
        <f t="shared" si="23"/>
        <v>-1860</v>
      </c>
      <c r="N100" s="141">
        <f t="shared" si="24"/>
        <v>-1500</v>
      </c>
      <c r="P100" s="17"/>
      <c r="Q100" s="17"/>
    </row>
    <row r="101" spans="1:17" s="11" customFormat="1" ht="14.85" customHeight="1" x14ac:dyDescent="0.25">
      <c r="A101" s="37"/>
      <c r="B101" s="13"/>
      <c r="C101" s="13"/>
      <c r="D101" s="13"/>
      <c r="E101" s="13"/>
      <c r="F101" s="13" t="s">
        <v>72</v>
      </c>
      <c r="G101" s="13"/>
      <c r="H101" s="75">
        <f t="shared" ref="H101:N101" si="26">ROUND(SUM(H89:H100),5)</f>
        <v>113609.2</v>
      </c>
      <c r="I101" s="75">
        <f t="shared" si="26"/>
        <v>41130</v>
      </c>
      <c r="J101" s="75">
        <f t="shared" si="26"/>
        <v>154739.20000000001</v>
      </c>
      <c r="K101" s="75">
        <f t="shared" si="26"/>
        <v>156241</v>
      </c>
      <c r="L101" s="75">
        <f t="shared" si="26"/>
        <v>146254</v>
      </c>
      <c r="M101" s="94">
        <f t="shared" si="26"/>
        <v>-8485.2000000000007</v>
      </c>
      <c r="N101" s="142">
        <f t="shared" si="26"/>
        <v>-9987</v>
      </c>
      <c r="P101" s="17"/>
      <c r="Q101" s="17"/>
    </row>
    <row r="102" spans="1:17" ht="27.75" customHeight="1" x14ac:dyDescent="0.25">
      <c r="A102" s="37"/>
      <c r="B102" s="1"/>
      <c r="C102" s="1"/>
      <c r="D102" s="1"/>
      <c r="E102" s="1"/>
      <c r="F102" s="1" t="s">
        <v>73</v>
      </c>
      <c r="G102" s="1"/>
      <c r="H102" s="60"/>
      <c r="I102" s="60"/>
      <c r="J102" s="60"/>
      <c r="K102" s="60"/>
      <c r="L102" s="60"/>
      <c r="M102" s="95"/>
      <c r="N102" s="140"/>
      <c r="P102" s="17"/>
      <c r="Q102" s="17"/>
    </row>
    <row r="103" spans="1:17" ht="14.45" customHeight="1" x14ac:dyDescent="0.25">
      <c r="A103" s="37"/>
      <c r="B103" s="1"/>
      <c r="C103" s="1"/>
      <c r="D103" s="1"/>
      <c r="E103" s="1"/>
      <c r="F103" s="1"/>
      <c r="G103" s="1" t="s">
        <v>102</v>
      </c>
      <c r="H103" s="69">
        <v>1164.55</v>
      </c>
      <c r="I103" s="121">
        <v>917</v>
      </c>
      <c r="J103" s="119">
        <f t="shared" ref="J103:J109" si="27">SUM(H103:I103)</f>
        <v>2081.5500000000002</v>
      </c>
      <c r="K103" s="61">
        <v>3000</v>
      </c>
      <c r="L103" s="128">
        <v>2850</v>
      </c>
      <c r="M103" s="129">
        <f t="shared" ref="M103:M112" si="28">+L103-J103</f>
        <v>768.44999999999982</v>
      </c>
      <c r="N103" s="138">
        <f t="shared" ref="N103:N112" si="29">+L103-K103</f>
        <v>-150</v>
      </c>
      <c r="P103" s="17"/>
      <c r="Q103" s="17"/>
    </row>
    <row r="104" spans="1:17" ht="14.45" customHeight="1" x14ac:dyDescent="0.25">
      <c r="A104" s="37"/>
      <c r="B104" s="1"/>
      <c r="C104" s="1"/>
      <c r="D104" s="1"/>
      <c r="E104" s="1"/>
      <c r="F104" s="1"/>
      <c r="G104" s="1" t="s">
        <v>103</v>
      </c>
      <c r="H104" s="69">
        <v>220</v>
      </c>
      <c r="I104" s="121">
        <v>460</v>
      </c>
      <c r="J104" s="119">
        <f t="shared" si="27"/>
        <v>680</v>
      </c>
      <c r="K104" s="61">
        <v>500</v>
      </c>
      <c r="L104" s="128">
        <v>475</v>
      </c>
      <c r="M104" s="129">
        <f t="shared" si="28"/>
        <v>-205</v>
      </c>
      <c r="N104" s="138">
        <f t="shared" si="29"/>
        <v>-25</v>
      </c>
      <c r="P104" s="17"/>
      <c r="Q104" s="17"/>
    </row>
    <row r="105" spans="1:17" ht="14.45" customHeight="1" x14ac:dyDescent="0.25">
      <c r="A105" s="37"/>
      <c r="B105" s="1"/>
      <c r="C105" s="1"/>
      <c r="D105" s="1"/>
      <c r="E105" s="1"/>
      <c r="F105" s="1"/>
      <c r="G105" s="1" t="s">
        <v>74</v>
      </c>
      <c r="H105" s="69">
        <v>33.32</v>
      </c>
      <c r="I105" s="121">
        <v>2260.9699999999998</v>
      </c>
      <c r="J105" s="119">
        <f t="shared" si="27"/>
        <v>2294.29</v>
      </c>
      <c r="K105" s="61">
        <v>3600</v>
      </c>
      <c r="L105" s="128">
        <v>3420</v>
      </c>
      <c r="M105" s="129">
        <f t="shared" si="28"/>
        <v>1125.71</v>
      </c>
      <c r="N105" s="138">
        <f t="shared" si="29"/>
        <v>-180</v>
      </c>
      <c r="P105" s="17"/>
      <c r="Q105" s="17"/>
    </row>
    <row r="106" spans="1:17" ht="14.45" customHeight="1" x14ac:dyDescent="0.25">
      <c r="A106" s="37"/>
      <c r="B106" s="1"/>
      <c r="C106" s="1"/>
      <c r="D106" s="1"/>
      <c r="E106" s="1"/>
      <c r="F106" s="1"/>
      <c r="G106" s="1" t="s">
        <v>75</v>
      </c>
      <c r="H106" s="69">
        <v>100</v>
      </c>
      <c r="I106" s="121">
        <v>300</v>
      </c>
      <c r="J106" s="119">
        <f t="shared" si="27"/>
        <v>400</v>
      </c>
      <c r="K106" s="61">
        <v>700</v>
      </c>
      <c r="L106" s="128">
        <f>140*12</f>
        <v>1680</v>
      </c>
      <c r="M106" s="129">
        <f t="shared" si="28"/>
        <v>1280</v>
      </c>
      <c r="N106" s="138">
        <f t="shared" si="29"/>
        <v>980</v>
      </c>
      <c r="O106" s="11"/>
      <c r="P106" s="153" t="s">
        <v>181</v>
      </c>
      <c r="Q106" s="17"/>
    </row>
    <row r="107" spans="1:17" ht="14.45" customHeight="1" x14ac:dyDescent="0.25">
      <c r="A107" s="37"/>
      <c r="B107" s="1"/>
      <c r="C107" s="1"/>
      <c r="D107" s="1"/>
      <c r="E107" s="1"/>
      <c r="F107" s="1"/>
      <c r="G107" s="1" t="s">
        <v>76</v>
      </c>
      <c r="H107" s="69">
        <v>0</v>
      </c>
      <c r="I107" s="121">
        <v>0</v>
      </c>
      <c r="J107" s="119">
        <f t="shared" si="27"/>
        <v>0</v>
      </c>
      <c r="K107" s="61">
        <v>300</v>
      </c>
      <c r="L107" s="128">
        <v>285</v>
      </c>
      <c r="M107" s="129">
        <f t="shared" si="28"/>
        <v>285</v>
      </c>
      <c r="N107" s="138">
        <f t="shared" si="29"/>
        <v>-15</v>
      </c>
      <c r="O107" s="11"/>
      <c r="P107" s="17"/>
      <c r="Q107" s="17"/>
    </row>
    <row r="108" spans="1:17" ht="14.45" customHeight="1" x14ac:dyDescent="0.25">
      <c r="A108" s="37"/>
      <c r="B108" s="1"/>
      <c r="C108" s="1"/>
      <c r="D108" s="1"/>
      <c r="E108" s="1"/>
      <c r="F108" s="1"/>
      <c r="G108" s="1" t="s">
        <v>96</v>
      </c>
      <c r="H108" s="69">
        <v>1421.27</v>
      </c>
      <c r="I108" s="121">
        <v>76</v>
      </c>
      <c r="J108" s="119">
        <f t="shared" si="27"/>
        <v>1497.27</v>
      </c>
      <c r="K108" s="61">
        <v>4300</v>
      </c>
      <c r="L108" s="128">
        <f>4085-1085</f>
        <v>3000</v>
      </c>
      <c r="M108" s="129">
        <f t="shared" si="28"/>
        <v>1502.73</v>
      </c>
      <c r="N108" s="138">
        <f t="shared" si="29"/>
        <v>-1300</v>
      </c>
      <c r="O108" s="11"/>
      <c r="P108" s="17"/>
      <c r="Q108" s="17"/>
    </row>
    <row r="109" spans="1:17" ht="14.45" customHeight="1" x14ac:dyDescent="0.25">
      <c r="A109" s="37"/>
      <c r="B109" s="1"/>
      <c r="C109" s="1"/>
      <c r="D109" s="1"/>
      <c r="E109" s="1"/>
      <c r="F109" s="1"/>
      <c r="G109" s="1" t="s">
        <v>177</v>
      </c>
      <c r="H109" s="69">
        <v>572.71</v>
      </c>
      <c r="I109" s="121">
        <v>161.88</v>
      </c>
      <c r="J109" s="119">
        <f t="shared" si="27"/>
        <v>734.59</v>
      </c>
      <c r="K109" s="61">
        <v>1500</v>
      </c>
      <c r="L109" s="128">
        <f>1425-225</f>
        <v>1200</v>
      </c>
      <c r="M109" s="129">
        <f t="shared" si="28"/>
        <v>465.40999999999997</v>
      </c>
      <c r="N109" s="138">
        <f t="shared" si="29"/>
        <v>-300</v>
      </c>
      <c r="O109" s="11"/>
      <c r="P109" s="17"/>
      <c r="Q109" s="17"/>
    </row>
    <row r="110" spans="1:17" ht="14.45" customHeight="1" x14ac:dyDescent="0.25">
      <c r="A110" s="37"/>
      <c r="B110" s="1"/>
      <c r="C110" s="1"/>
      <c r="D110" s="1"/>
      <c r="E110" s="1"/>
      <c r="F110" s="1"/>
      <c r="G110" s="1" t="s">
        <v>178</v>
      </c>
      <c r="H110" s="69"/>
      <c r="I110" s="121"/>
      <c r="J110" s="119"/>
      <c r="K110" s="61"/>
      <c r="L110" s="128">
        <v>1200</v>
      </c>
      <c r="M110" s="129">
        <f t="shared" si="28"/>
        <v>1200</v>
      </c>
      <c r="N110" s="138">
        <f t="shared" si="29"/>
        <v>1200</v>
      </c>
      <c r="O110" s="11"/>
      <c r="P110" s="17"/>
      <c r="Q110" s="17"/>
    </row>
    <row r="111" spans="1:17" ht="14.45" customHeight="1" x14ac:dyDescent="0.25">
      <c r="A111" s="37"/>
      <c r="B111" s="1"/>
      <c r="C111" s="1"/>
      <c r="D111" s="1"/>
      <c r="E111" s="1"/>
      <c r="F111" s="1"/>
      <c r="G111" s="1" t="s">
        <v>94</v>
      </c>
      <c r="H111" s="69">
        <v>124.49</v>
      </c>
      <c r="I111" s="121">
        <v>20</v>
      </c>
      <c r="J111" s="119">
        <f>SUM(H111:I111)</f>
        <v>144.49</v>
      </c>
      <c r="K111" s="61">
        <v>600</v>
      </c>
      <c r="L111" s="128">
        <v>500</v>
      </c>
      <c r="M111" s="129">
        <f t="shared" si="28"/>
        <v>355.51</v>
      </c>
      <c r="N111" s="138">
        <f t="shared" si="29"/>
        <v>-100</v>
      </c>
      <c r="O111" s="11"/>
      <c r="P111" s="17"/>
      <c r="Q111" s="17"/>
    </row>
    <row r="112" spans="1:17" ht="14.45" customHeight="1" thickBot="1" x14ac:dyDescent="0.3">
      <c r="A112" s="37"/>
      <c r="B112" s="1"/>
      <c r="C112" s="1"/>
      <c r="D112" s="1"/>
      <c r="E112" s="1"/>
      <c r="F112" s="1"/>
      <c r="G112" s="1" t="s">
        <v>105</v>
      </c>
      <c r="H112" s="70">
        <v>0</v>
      </c>
      <c r="I112" s="123">
        <v>0</v>
      </c>
      <c r="J112" s="120">
        <f>SUM(H112:I112)</f>
        <v>0</v>
      </c>
      <c r="K112" s="62">
        <v>100</v>
      </c>
      <c r="L112" s="127">
        <v>50</v>
      </c>
      <c r="M112" s="130">
        <f t="shared" si="28"/>
        <v>50</v>
      </c>
      <c r="N112" s="141">
        <f t="shared" si="29"/>
        <v>-50</v>
      </c>
      <c r="O112" s="11"/>
      <c r="P112" s="17"/>
      <c r="Q112" s="17"/>
    </row>
    <row r="113" spans="1:17" s="11" customFormat="1" ht="14.85" customHeight="1" x14ac:dyDescent="0.25">
      <c r="A113" s="37"/>
      <c r="B113" s="13"/>
      <c r="C113" s="13"/>
      <c r="D113" s="13"/>
      <c r="E113" s="13"/>
      <c r="F113" s="13" t="s">
        <v>78</v>
      </c>
      <c r="G113" s="13"/>
      <c r="H113" s="75">
        <f t="shared" ref="H113:N113" si="30">ROUND(SUM(H102:H112),5)</f>
        <v>3636.34</v>
      </c>
      <c r="I113" s="75">
        <f t="shared" si="30"/>
        <v>4195.8500000000004</v>
      </c>
      <c r="J113" s="75">
        <f t="shared" si="30"/>
        <v>7832.19</v>
      </c>
      <c r="K113" s="76">
        <f t="shared" si="30"/>
        <v>14600</v>
      </c>
      <c r="L113" s="76">
        <f t="shared" si="30"/>
        <v>14660</v>
      </c>
      <c r="M113" s="96">
        <f t="shared" si="30"/>
        <v>6827.81</v>
      </c>
      <c r="N113" s="142">
        <f t="shared" si="30"/>
        <v>60</v>
      </c>
      <c r="P113" s="17"/>
      <c r="Q113" s="17"/>
    </row>
    <row r="114" spans="1:17" ht="14.45" customHeight="1" x14ac:dyDescent="0.25">
      <c r="A114" s="37"/>
      <c r="B114" s="1"/>
      <c r="C114" s="1"/>
      <c r="D114" s="1"/>
      <c r="E114" s="1"/>
      <c r="F114" s="1" t="s">
        <v>79</v>
      </c>
      <c r="G114" s="1"/>
      <c r="H114" s="60"/>
      <c r="I114" s="60"/>
      <c r="J114" s="60"/>
      <c r="K114" s="60"/>
      <c r="L114" s="60"/>
      <c r="M114" s="95"/>
      <c r="N114" s="140"/>
      <c r="O114" s="11"/>
      <c r="P114" s="17"/>
      <c r="Q114" s="17"/>
    </row>
    <row r="115" spans="1:17" ht="14.45" customHeight="1" x14ac:dyDescent="0.25">
      <c r="A115" s="37"/>
      <c r="B115" s="1"/>
      <c r="C115" s="1"/>
      <c r="D115" s="1"/>
      <c r="E115" s="1"/>
      <c r="F115" s="1"/>
      <c r="G115" s="1" t="s">
        <v>80</v>
      </c>
      <c r="H115" s="69">
        <v>2329.25</v>
      </c>
      <c r="I115" s="121">
        <v>446.49</v>
      </c>
      <c r="J115" s="119">
        <f t="shared" ref="J115:J121" si="31">SUM(H115:I115)</f>
        <v>2775.74</v>
      </c>
      <c r="K115" s="61">
        <v>2000</v>
      </c>
      <c r="L115" s="128">
        <v>2800</v>
      </c>
      <c r="M115" s="129">
        <f t="shared" ref="M115:M121" si="32">+L115-J115</f>
        <v>24.260000000000218</v>
      </c>
      <c r="N115" s="138">
        <f t="shared" ref="N115:N121" si="33">+L115-K115</f>
        <v>800</v>
      </c>
      <c r="O115" s="11"/>
      <c r="P115" s="153" t="s">
        <v>182</v>
      </c>
      <c r="Q115" s="17"/>
    </row>
    <row r="116" spans="1:17" ht="14.45" customHeight="1" x14ac:dyDescent="0.25">
      <c r="A116" s="37"/>
      <c r="B116" s="1"/>
      <c r="C116" s="1"/>
      <c r="D116" s="1"/>
      <c r="E116" s="1"/>
      <c r="F116" s="1"/>
      <c r="G116" s="1" t="s">
        <v>98</v>
      </c>
      <c r="H116" s="69">
        <v>-446.37</v>
      </c>
      <c r="I116" s="121">
        <v>637.5</v>
      </c>
      <c r="J116" s="119">
        <f t="shared" si="31"/>
        <v>191.13</v>
      </c>
      <c r="K116" s="61">
        <v>500</v>
      </c>
      <c r="L116" s="128">
        <v>475</v>
      </c>
      <c r="M116" s="129">
        <f t="shared" si="32"/>
        <v>283.87</v>
      </c>
      <c r="N116" s="138">
        <f t="shared" si="33"/>
        <v>-25</v>
      </c>
      <c r="O116" s="11"/>
      <c r="P116" s="17"/>
      <c r="Q116" s="17"/>
    </row>
    <row r="117" spans="1:17" ht="14.45" customHeight="1" x14ac:dyDescent="0.25">
      <c r="A117" s="37"/>
      <c r="B117" s="1"/>
      <c r="C117" s="1"/>
      <c r="D117" s="1"/>
      <c r="E117" s="1"/>
      <c r="F117" s="1"/>
      <c r="G117" s="1" t="s">
        <v>108</v>
      </c>
      <c r="H117" s="69">
        <v>0</v>
      </c>
      <c r="I117" s="121">
        <v>0</v>
      </c>
      <c r="J117" s="119">
        <f t="shared" si="31"/>
        <v>0</v>
      </c>
      <c r="K117" s="61">
        <v>500</v>
      </c>
      <c r="L117" s="128">
        <v>475</v>
      </c>
      <c r="M117" s="129">
        <f t="shared" si="32"/>
        <v>475</v>
      </c>
      <c r="N117" s="138">
        <f t="shared" si="33"/>
        <v>-25</v>
      </c>
      <c r="O117" s="11"/>
      <c r="P117" s="17"/>
      <c r="Q117" s="17"/>
    </row>
    <row r="118" spans="1:17" ht="14.45" customHeight="1" x14ac:dyDescent="0.25">
      <c r="A118" s="37"/>
      <c r="B118" s="1"/>
      <c r="C118" s="1"/>
      <c r="D118" s="1"/>
      <c r="E118" s="1"/>
      <c r="F118" s="1"/>
      <c r="G118" s="1" t="s">
        <v>81</v>
      </c>
      <c r="H118" s="69">
        <v>0</v>
      </c>
      <c r="I118" s="121">
        <v>0</v>
      </c>
      <c r="J118" s="119">
        <f t="shared" si="31"/>
        <v>0</v>
      </c>
      <c r="K118" s="61">
        <v>150</v>
      </c>
      <c r="L118" s="128">
        <v>143</v>
      </c>
      <c r="M118" s="129">
        <f t="shared" si="32"/>
        <v>143</v>
      </c>
      <c r="N118" s="138">
        <f t="shared" si="33"/>
        <v>-7</v>
      </c>
      <c r="O118" s="11"/>
      <c r="P118" s="17"/>
      <c r="Q118" s="17"/>
    </row>
    <row r="119" spans="1:17" ht="14.45" customHeight="1" x14ac:dyDescent="0.25">
      <c r="A119" s="37"/>
      <c r="B119" s="1"/>
      <c r="C119" s="1"/>
      <c r="D119" s="1"/>
      <c r="E119" s="1"/>
      <c r="F119" s="1"/>
      <c r="G119" s="17" t="s">
        <v>82</v>
      </c>
      <c r="H119" s="69">
        <v>539.92999999999995</v>
      </c>
      <c r="I119" s="121">
        <v>879.84</v>
      </c>
      <c r="J119" s="119">
        <f t="shared" si="31"/>
        <v>1419.77</v>
      </c>
      <c r="K119" s="61">
        <v>1675</v>
      </c>
      <c r="L119" s="128">
        <v>1591</v>
      </c>
      <c r="M119" s="129">
        <f t="shared" si="32"/>
        <v>171.23000000000002</v>
      </c>
      <c r="N119" s="138">
        <f t="shared" si="33"/>
        <v>-84</v>
      </c>
      <c r="O119" s="11"/>
      <c r="P119" s="17"/>
      <c r="Q119" s="17"/>
    </row>
    <row r="120" spans="1:17" ht="14.45" customHeight="1" x14ac:dyDescent="0.25">
      <c r="A120" s="37"/>
      <c r="B120" s="1"/>
      <c r="C120" s="1"/>
      <c r="D120" s="1"/>
      <c r="E120" s="1"/>
      <c r="F120" s="1"/>
      <c r="G120" s="1" t="s">
        <v>83</v>
      </c>
      <c r="H120" s="69">
        <v>17.87</v>
      </c>
      <c r="I120" s="121">
        <v>-8</v>
      </c>
      <c r="J120" s="119">
        <f t="shared" si="31"/>
        <v>9.870000000000001</v>
      </c>
      <c r="K120" s="61">
        <v>500</v>
      </c>
      <c r="L120" s="128">
        <v>475</v>
      </c>
      <c r="M120" s="129">
        <f t="shared" si="32"/>
        <v>465.13</v>
      </c>
      <c r="N120" s="138">
        <f t="shared" si="33"/>
        <v>-25</v>
      </c>
      <c r="O120" s="11"/>
      <c r="P120" s="17"/>
      <c r="Q120" s="17"/>
    </row>
    <row r="121" spans="1:17" ht="14.45" customHeight="1" thickBot="1" x14ac:dyDescent="0.3">
      <c r="A121" s="37"/>
      <c r="B121" s="1"/>
      <c r="C121" s="1"/>
      <c r="D121" s="1"/>
      <c r="E121" s="1"/>
      <c r="F121" s="1"/>
      <c r="G121" s="1" t="s">
        <v>84</v>
      </c>
      <c r="H121" s="70">
        <v>0</v>
      </c>
      <c r="I121" s="123">
        <v>0</v>
      </c>
      <c r="J121" s="120">
        <f t="shared" si="31"/>
        <v>0</v>
      </c>
      <c r="K121" s="62">
        <v>500</v>
      </c>
      <c r="L121" s="127">
        <v>100</v>
      </c>
      <c r="M121" s="130">
        <f t="shared" si="32"/>
        <v>100</v>
      </c>
      <c r="N121" s="141">
        <f t="shared" si="33"/>
        <v>-400</v>
      </c>
      <c r="O121" s="11"/>
      <c r="P121" s="17"/>
      <c r="Q121" s="17"/>
    </row>
    <row r="122" spans="1:17" s="11" customFormat="1" ht="14.85" customHeight="1" x14ac:dyDescent="0.25">
      <c r="A122" s="37"/>
      <c r="B122" s="13"/>
      <c r="C122" s="13"/>
      <c r="D122" s="13"/>
      <c r="E122" s="13"/>
      <c r="F122" s="13" t="s">
        <v>85</v>
      </c>
      <c r="G122" s="13"/>
      <c r="H122" s="75">
        <f t="shared" ref="H122:N122" si="34">ROUND(SUM(H114:H121),5)</f>
        <v>2440.6799999999998</v>
      </c>
      <c r="I122" s="75">
        <f t="shared" si="34"/>
        <v>1955.83</v>
      </c>
      <c r="J122" s="75">
        <f t="shared" si="34"/>
        <v>4396.51</v>
      </c>
      <c r="K122" s="75">
        <f t="shared" si="34"/>
        <v>5825</v>
      </c>
      <c r="L122" s="75">
        <f t="shared" si="34"/>
        <v>6059</v>
      </c>
      <c r="M122" s="94">
        <f t="shared" si="34"/>
        <v>1662.49</v>
      </c>
      <c r="N122" s="142">
        <f t="shared" si="34"/>
        <v>234</v>
      </c>
      <c r="P122" s="17"/>
      <c r="Q122" s="17"/>
    </row>
    <row r="123" spans="1:17" ht="14.45" customHeight="1" x14ac:dyDescent="0.25">
      <c r="A123" s="37"/>
      <c r="B123" s="1"/>
      <c r="C123" s="1"/>
      <c r="D123" s="1"/>
      <c r="E123" s="1"/>
      <c r="F123" s="1" t="s">
        <v>86</v>
      </c>
      <c r="G123" s="1"/>
      <c r="H123" s="60"/>
      <c r="I123" s="60"/>
      <c r="J123" s="60"/>
      <c r="K123" s="60"/>
      <c r="L123" s="60"/>
      <c r="M123" s="95"/>
      <c r="N123" s="140"/>
      <c r="O123" s="11"/>
      <c r="P123" s="17"/>
      <c r="Q123" s="17"/>
    </row>
    <row r="124" spans="1:17" ht="14.45" customHeight="1" x14ac:dyDescent="0.25">
      <c r="A124" s="37"/>
      <c r="B124" s="1"/>
      <c r="C124" s="1"/>
      <c r="D124" s="1"/>
      <c r="E124" s="1"/>
      <c r="F124" s="1"/>
      <c r="G124" s="1" t="s">
        <v>87</v>
      </c>
      <c r="H124" s="69">
        <v>2701.98</v>
      </c>
      <c r="I124" s="121">
        <v>834.63</v>
      </c>
      <c r="J124" s="119">
        <f>SUM(H124:I124)</f>
        <v>3536.61</v>
      </c>
      <c r="K124" s="61">
        <v>4350</v>
      </c>
      <c r="L124" s="128">
        <v>4133</v>
      </c>
      <c r="M124" s="129">
        <f>+L124-J124</f>
        <v>596.38999999999987</v>
      </c>
      <c r="N124" s="138">
        <f>+L124-K124</f>
        <v>-217</v>
      </c>
      <c r="O124" s="11"/>
      <c r="P124" s="17"/>
      <c r="Q124" s="17"/>
    </row>
    <row r="125" spans="1:17" ht="14.45" customHeight="1" x14ac:dyDescent="0.25">
      <c r="A125" s="37"/>
      <c r="B125" s="1"/>
      <c r="C125" s="1"/>
      <c r="D125" s="1"/>
      <c r="E125" s="1"/>
      <c r="F125" s="1"/>
      <c r="G125" s="1" t="s">
        <v>88</v>
      </c>
      <c r="H125" s="69">
        <v>829.28</v>
      </c>
      <c r="I125" s="121">
        <v>35.9</v>
      </c>
      <c r="J125" s="119">
        <f>SUM(H125:I125)</f>
        <v>865.18</v>
      </c>
      <c r="K125" s="61">
        <v>11200</v>
      </c>
      <c r="L125" s="128">
        <f>7000-2000</f>
        <v>5000</v>
      </c>
      <c r="M125" s="129">
        <f>+L125-J125</f>
        <v>4134.82</v>
      </c>
      <c r="N125" s="138">
        <f>+L125-K125</f>
        <v>-6200</v>
      </c>
      <c r="O125" s="11"/>
      <c r="P125" s="17"/>
      <c r="Q125" s="17"/>
    </row>
    <row r="126" spans="1:17" ht="14.45" customHeight="1" thickBot="1" x14ac:dyDescent="0.3">
      <c r="A126" s="37"/>
      <c r="B126" s="1"/>
      <c r="C126" s="1"/>
      <c r="D126" s="1"/>
      <c r="E126" s="1"/>
      <c r="F126" s="1"/>
      <c r="G126" s="1" t="s">
        <v>109</v>
      </c>
      <c r="H126" s="70">
        <v>10.9</v>
      </c>
      <c r="I126" s="121">
        <v>350</v>
      </c>
      <c r="J126" s="119">
        <f>SUM(H126:I126)</f>
        <v>360.9</v>
      </c>
      <c r="K126" s="61">
        <v>1400</v>
      </c>
      <c r="L126" s="127">
        <v>1330</v>
      </c>
      <c r="M126" s="130">
        <f>+L126-J126</f>
        <v>969.1</v>
      </c>
      <c r="N126" s="141">
        <f>+L126-K126</f>
        <v>-70</v>
      </c>
      <c r="O126" s="11"/>
      <c r="P126" s="17"/>
      <c r="Q126" s="17"/>
    </row>
    <row r="127" spans="1:17" s="11" customFormat="1" ht="14.85" customHeight="1" thickBot="1" x14ac:dyDescent="0.3">
      <c r="A127" s="37"/>
      <c r="B127" s="13"/>
      <c r="C127" s="13"/>
      <c r="D127" s="13"/>
      <c r="E127" s="13"/>
      <c r="F127" s="13" t="s">
        <v>89</v>
      </c>
      <c r="G127" s="13"/>
      <c r="H127" s="76">
        <f t="shared" ref="H127:N127" si="35">ROUND(SUM(H123:H126),5)</f>
        <v>3542.16</v>
      </c>
      <c r="I127" s="77">
        <f t="shared" si="35"/>
        <v>1220.53</v>
      </c>
      <c r="J127" s="77">
        <f t="shared" si="35"/>
        <v>4762.6899999999996</v>
      </c>
      <c r="K127" s="77">
        <f t="shared" si="35"/>
        <v>16950</v>
      </c>
      <c r="L127" s="78">
        <f t="shared" si="35"/>
        <v>10463</v>
      </c>
      <c r="M127" s="97">
        <f t="shared" si="35"/>
        <v>5700.31</v>
      </c>
      <c r="N127" s="143">
        <f t="shared" si="35"/>
        <v>-6487</v>
      </c>
      <c r="P127" s="17"/>
      <c r="Q127" s="17"/>
    </row>
    <row r="128" spans="1:17" s="11" customFormat="1" ht="14.85" customHeight="1" thickBot="1" x14ac:dyDescent="0.3">
      <c r="A128" s="37"/>
      <c r="B128" s="34"/>
      <c r="C128" s="34"/>
      <c r="D128" s="34"/>
      <c r="E128" s="34" t="s">
        <v>90</v>
      </c>
      <c r="F128" s="34"/>
      <c r="G128" s="34"/>
      <c r="H128" s="81">
        <f t="shared" ref="H128:N128" si="36">ROUND(H67+H70+H74+H80+H88+H101+H113+H122+H127,5)</f>
        <v>133721.51</v>
      </c>
      <c r="I128" s="81">
        <f t="shared" si="36"/>
        <v>52449.19</v>
      </c>
      <c r="J128" s="81">
        <f t="shared" si="36"/>
        <v>186170.7</v>
      </c>
      <c r="K128" s="81">
        <f t="shared" si="36"/>
        <v>222666</v>
      </c>
      <c r="L128" s="79">
        <f t="shared" si="36"/>
        <v>201136</v>
      </c>
      <c r="M128" s="100">
        <f t="shared" si="36"/>
        <v>14965.3</v>
      </c>
      <c r="N128" s="144">
        <f t="shared" si="36"/>
        <v>-21530</v>
      </c>
      <c r="P128" s="17"/>
      <c r="Q128" s="17"/>
    </row>
    <row r="129" spans="1:17" s="11" customFormat="1" ht="14.85" customHeight="1" thickBot="1" x14ac:dyDescent="0.3">
      <c r="A129" s="37"/>
      <c r="B129" s="12"/>
      <c r="C129" s="12"/>
      <c r="D129" s="12"/>
      <c r="E129" s="12" t="s">
        <v>97</v>
      </c>
      <c r="F129" s="12"/>
      <c r="G129" s="19"/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146">
        <f>K129-I129</f>
        <v>0</v>
      </c>
      <c r="P129" s="23"/>
      <c r="Q129" s="23"/>
    </row>
    <row r="130" spans="1:17" s="11" customFormat="1" ht="14.85" customHeight="1" thickBot="1" x14ac:dyDescent="0.3">
      <c r="A130" s="37"/>
      <c r="B130" s="14"/>
      <c r="C130" s="14"/>
      <c r="D130" s="14" t="s">
        <v>91</v>
      </c>
      <c r="E130" s="14"/>
      <c r="F130" s="14"/>
      <c r="G130" s="14"/>
      <c r="H130" s="83">
        <f t="shared" ref="H130:N130" si="37">H66+H128+H129</f>
        <v>582213.31000000006</v>
      </c>
      <c r="I130" s="83">
        <f t="shared" si="37"/>
        <v>207657.02</v>
      </c>
      <c r="J130" s="83">
        <f t="shared" si="37"/>
        <v>789870.33000000007</v>
      </c>
      <c r="K130" s="83">
        <f t="shared" si="37"/>
        <v>891857</v>
      </c>
      <c r="L130" s="83">
        <f t="shared" si="37"/>
        <v>827378</v>
      </c>
      <c r="M130" s="101">
        <f t="shared" si="37"/>
        <v>37507.67</v>
      </c>
      <c r="N130" s="147">
        <f t="shared" si="37"/>
        <v>-64479</v>
      </c>
      <c r="P130" s="23"/>
      <c r="Q130" s="23"/>
    </row>
    <row r="131" spans="1:17" s="11" customFormat="1" ht="14.85" customHeight="1" thickTop="1" x14ac:dyDescent="0.25">
      <c r="A131" s="37"/>
      <c r="B131" s="9" t="s">
        <v>92</v>
      </c>
      <c r="C131" s="9"/>
      <c r="D131" s="9"/>
      <c r="E131" s="9"/>
      <c r="F131" s="9"/>
      <c r="G131" s="9"/>
      <c r="H131" s="84">
        <f t="shared" ref="H131:N131" si="38">H15-H130</f>
        <v>20165.779999999912</v>
      </c>
      <c r="I131" s="84">
        <f t="shared" si="38"/>
        <v>-36496.910000000003</v>
      </c>
      <c r="J131" s="84">
        <f t="shared" si="38"/>
        <v>-16331.130000000121</v>
      </c>
      <c r="K131" s="84">
        <f t="shared" si="38"/>
        <v>-39057</v>
      </c>
      <c r="L131" s="84">
        <f t="shared" si="38"/>
        <v>0</v>
      </c>
      <c r="M131" s="102">
        <f t="shared" si="38"/>
        <v>16331.130000000005</v>
      </c>
      <c r="N131" s="148">
        <f t="shared" si="38"/>
        <v>39057</v>
      </c>
      <c r="P131" s="17"/>
      <c r="Q131" s="17"/>
    </row>
    <row r="132" spans="1:17" ht="14.85" customHeight="1" x14ac:dyDescent="0.25">
      <c r="A132" s="38"/>
      <c r="B132" s="38"/>
      <c r="C132" s="38"/>
      <c r="D132" s="38"/>
      <c r="E132" s="38"/>
      <c r="F132" s="38"/>
      <c r="G132" s="38"/>
      <c r="H132" s="149"/>
      <c r="I132" s="149"/>
      <c r="J132" s="149"/>
      <c r="K132" s="149"/>
      <c r="L132" s="149"/>
      <c r="M132" s="68"/>
      <c r="N132" s="64"/>
      <c r="O132" s="11"/>
      <c r="P132" s="16"/>
      <c r="Q132" s="16"/>
    </row>
    <row r="133" spans="1:17" ht="14.45" customHeight="1" x14ac:dyDescent="0.25">
      <c r="H133" s="8"/>
      <c r="I133" s="8"/>
      <c r="J133" s="8"/>
      <c r="K133" s="27"/>
      <c r="L133" s="27"/>
      <c r="M133" s="27"/>
      <c r="N133" s="65"/>
      <c r="P133" s="16"/>
      <c r="Q133" s="16"/>
    </row>
    <row r="134" spans="1:17" ht="14.45" customHeight="1" x14ac:dyDescent="0.25">
      <c r="H134" s="8"/>
      <c r="I134" s="8"/>
      <c r="J134" s="8"/>
      <c r="K134" s="27"/>
      <c r="L134" s="27"/>
      <c r="M134" s="27"/>
      <c r="P134" s="16"/>
      <c r="Q134" s="16"/>
    </row>
    <row r="135" spans="1:17" ht="14.45" customHeight="1" x14ac:dyDescent="0.25">
      <c r="E135" s="31"/>
      <c r="G135" s="24"/>
      <c r="H135" s="27"/>
      <c r="I135" s="27"/>
      <c r="P135" s="16"/>
      <c r="Q135" s="16"/>
    </row>
    <row r="136" spans="1:17" ht="14.45" customHeight="1" x14ac:dyDescent="0.25">
      <c r="H136" s="27"/>
      <c r="I136" s="27"/>
      <c r="P136" s="16"/>
      <c r="Q136" s="16"/>
    </row>
    <row r="137" spans="1:17" ht="14.45" customHeight="1" x14ac:dyDescent="0.25">
      <c r="H137" s="27"/>
      <c r="I137" s="27"/>
      <c r="P137" s="16"/>
      <c r="Q137" s="16"/>
    </row>
    <row r="138" spans="1:17" ht="14.45" customHeight="1" x14ac:dyDescent="0.25">
      <c r="P138" s="16"/>
      <c r="Q138" s="16"/>
    </row>
    <row r="139" spans="1:17" ht="14.45" customHeight="1" x14ac:dyDescent="0.25">
      <c r="E139" s="33"/>
      <c r="P139" s="16"/>
      <c r="Q139" s="16"/>
    </row>
    <row r="140" spans="1:17" ht="14.45" customHeight="1" x14ac:dyDescent="0.25">
      <c r="H140" s="44"/>
      <c r="I140" s="44"/>
      <c r="J140" s="44"/>
      <c r="K140" s="44"/>
      <c r="L140" s="44"/>
      <c r="M140" s="44"/>
      <c r="N140" s="45"/>
      <c r="O140" s="45"/>
      <c r="P140" s="46"/>
      <c r="Q140" s="46"/>
    </row>
    <row r="141" spans="1:17" ht="14.45" customHeight="1" x14ac:dyDescent="0.25">
      <c r="G141" s="32"/>
      <c r="H141" s="47"/>
      <c r="I141" s="47"/>
      <c r="J141" s="47"/>
      <c r="K141" s="48"/>
      <c r="L141" s="48"/>
      <c r="M141" s="48"/>
      <c r="N141" s="47"/>
      <c r="O141" s="47"/>
      <c r="P141" s="47"/>
      <c r="Q141" s="47"/>
    </row>
    <row r="142" spans="1:17" ht="14.45" customHeight="1" x14ac:dyDescent="0.25">
      <c r="G142" s="32"/>
      <c r="H142" s="55"/>
      <c r="I142" s="55"/>
      <c r="J142" s="55"/>
      <c r="K142" s="56"/>
      <c r="L142" s="56"/>
      <c r="M142" s="56"/>
      <c r="N142" s="55"/>
      <c r="O142" s="55"/>
      <c r="P142" s="57"/>
      <c r="Q142" s="58"/>
    </row>
    <row r="143" spans="1:17" ht="14.45" customHeight="1" x14ac:dyDescent="0.25">
      <c r="G143" s="32"/>
      <c r="H143" s="59"/>
      <c r="I143" s="59"/>
      <c r="J143" s="59"/>
      <c r="K143" s="59"/>
      <c r="L143" s="59"/>
      <c r="M143" s="59"/>
      <c r="N143" s="53"/>
      <c r="O143" s="54"/>
      <c r="P143" s="57"/>
      <c r="Q143" s="57"/>
    </row>
    <row r="144" spans="1:17" ht="14.45" customHeight="1" x14ac:dyDescent="0.25">
      <c r="G144" s="32"/>
      <c r="H144" s="30"/>
      <c r="I144" s="30"/>
      <c r="J144" s="30"/>
      <c r="K144" s="30"/>
      <c r="L144" s="30"/>
      <c r="M144" s="30"/>
      <c r="N144" s="16"/>
      <c r="O144" s="16"/>
      <c r="P144" s="16"/>
      <c r="Q144" s="16"/>
    </row>
    <row r="145" spans="6:17" ht="14.45" customHeight="1" x14ac:dyDescent="0.25">
      <c r="G145" s="32"/>
      <c r="H145" s="30"/>
      <c r="I145" s="30"/>
      <c r="J145" s="30"/>
      <c r="K145" s="30"/>
      <c r="L145" s="30"/>
      <c r="M145" s="30"/>
      <c r="N145" s="16"/>
      <c r="O145" s="16"/>
      <c r="P145" s="16"/>
      <c r="Q145" s="16"/>
    </row>
    <row r="146" spans="6:17" ht="14.45" customHeight="1" x14ac:dyDescent="0.25">
      <c r="G146" s="32"/>
    </row>
    <row r="147" spans="6:17" ht="14.45" customHeight="1" x14ac:dyDescent="0.25"/>
    <row r="148" spans="6:17" ht="14.45" customHeight="1" x14ac:dyDescent="0.25">
      <c r="G148" s="32"/>
    </row>
    <row r="154" spans="6:17" x14ac:dyDescent="0.25">
      <c r="F154" s="31"/>
    </row>
  </sheetData>
  <mergeCells count="1">
    <mergeCell ref="H7:N7"/>
  </mergeCells>
  <printOptions horizontalCentered="1"/>
  <pageMargins left="0.25" right="0.25" top="0.5" bottom="0.5" header="0" footer="0"/>
  <pageSetup scale="72" fitToHeight="3" orientation="portrait" r:id="rId1"/>
  <headerFooter>
    <oddHeader xml:space="preserve">&amp;C&amp;"Arial,Bold"&amp;13 McKnight Crossings Church of Christ&amp;12
&amp;14  Budget Planning 2023
</oddHeader>
  </headerFooter>
  <rowBreaks count="1" manualBreakCount="1">
    <brk id="6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5"/>
  <sheetViews>
    <sheetView zoomScaleNormal="100" workbookViewId="0">
      <selection activeCell="G2" sqref="G2"/>
    </sheetView>
  </sheetViews>
  <sheetFormatPr defaultRowHeight="15" x14ac:dyDescent="0.25"/>
  <cols>
    <col min="1" max="1" width="7.42578125" style="165" customWidth="1"/>
    <col min="2" max="2" width="19.5703125" customWidth="1"/>
    <col min="3" max="3" width="1.85546875" customWidth="1"/>
    <col min="4" max="4" width="7.7109375" customWidth="1"/>
    <col min="5" max="5" width="6.28515625" customWidth="1"/>
    <col min="6" max="6" width="7.5703125" customWidth="1"/>
    <col min="7" max="7" width="8" customWidth="1"/>
    <col min="8" max="8" width="6.42578125" customWidth="1"/>
    <col min="9" max="9" width="7.7109375" customWidth="1"/>
    <col min="10" max="11" width="6.85546875" customWidth="1"/>
    <col min="12" max="12" width="6.5703125" customWidth="1"/>
    <col min="13" max="13" width="8.85546875" customWidth="1"/>
    <col min="14" max="14" width="7.7109375" customWidth="1"/>
    <col min="15" max="15" width="5.85546875" customWidth="1"/>
    <col min="16" max="16" width="5.7109375" customWidth="1"/>
    <col min="17" max="17" width="6.7109375" customWidth="1"/>
    <col min="18" max="18" width="7.5703125" customWidth="1"/>
    <col min="19" max="19" width="7.7109375" customWidth="1"/>
    <col min="20" max="20" width="10.140625" bestFit="1" customWidth="1"/>
  </cols>
  <sheetData>
    <row r="1" spans="1:18" ht="18.75" x14ac:dyDescent="0.3">
      <c r="A1" s="225" t="s">
        <v>273</v>
      </c>
      <c r="B1" s="216"/>
      <c r="C1" s="216"/>
      <c r="D1" s="216"/>
      <c r="E1" s="216"/>
      <c r="F1" s="216"/>
      <c r="G1" s="225" t="s">
        <v>276</v>
      </c>
      <c r="H1" s="225"/>
      <c r="I1" s="225"/>
      <c r="J1" s="225"/>
      <c r="K1" s="225"/>
      <c r="L1" s="225"/>
      <c r="M1" s="216"/>
      <c r="N1" s="216"/>
      <c r="O1" s="216"/>
      <c r="P1" s="216"/>
      <c r="Q1" s="216"/>
    </row>
    <row r="2" spans="1:18" x14ac:dyDescent="0.25">
      <c r="E2" s="4">
        <v>2023</v>
      </c>
      <c r="G2" s="164" t="s">
        <v>272</v>
      </c>
      <c r="H2" s="224" t="s">
        <v>220</v>
      </c>
    </row>
    <row r="3" spans="1:18" x14ac:dyDescent="0.25">
      <c r="A3" s="223">
        <v>2023</v>
      </c>
      <c r="D3" s="219">
        <v>2022</v>
      </c>
      <c r="E3" s="222" t="s">
        <v>271</v>
      </c>
      <c r="F3" s="4">
        <v>2022</v>
      </c>
      <c r="G3" s="4">
        <v>2023</v>
      </c>
      <c r="H3" s="4" t="s">
        <v>270</v>
      </c>
      <c r="I3" s="221">
        <v>0.03</v>
      </c>
      <c r="O3" t="s">
        <v>269</v>
      </c>
    </row>
    <row r="4" spans="1:18" x14ac:dyDescent="0.25">
      <c r="A4" s="165" t="s">
        <v>267</v>
      </c>
      <c r="D4" s="219" t="s">
        <v>268</v>
      </c>
      <c r="E4" s="221" t="s">
        <v>267</v>
      </c>
      <c r="F4" s="220" t="s">
        <v>266</v>
      </c>
      <c r="G4" s="219" t="s">
        <v>265</v>
      </c>
      <c r="H4" s="219" t="s">
        <v>264</v>
      </c>
      <c r="I4" s="4" t="s">
        <v>263</v>
      </c>
      <c r="J4" s="4"/>
      <c r="K4" s="4"/>
      <c r="L4" s="4"/>
      <c r="M4" s="4"/>
      <c r="N4" s="4" t="s">
        <v>262</v>
      </c>
      <c r="O4" s="218" t="s">
        <v>261</v>
      </c>
      <c r="P4" s="4" t="s">
        <v>260</v>
      </c>
      <c r="Q4" s="4"/>
    </row>
    <row r="5" spans="1:18" x14ac:dyDescent="0.25">
      <c r="A5" s="217" t="s">
        <v>259</v>
      </c>
      <c r="B5" s="213" t="s">
        <v>258</v>
      </c>
      <c r="C5" s="216"/>
      <c r="D5" s="213" t="s">
        <v>257</v>
      </c>
      <c r="E5" s="213" t="s">
        <v>256</v>
      </c>
      <c r="F5" s="215" t="s">
        <v>255</v>
      </c>
      <c r="G5" s="213"/>
      <c r="H5" s="213" t="s">
        <v>254</v>
      </c>
      <c r="I5" s="213" t="s">
        <v>253</v>
      </c>
      <c r="J5" s="213" t="s">
        <v>252</v>
      </c>
      <c r="K5" s="213" t="s">
        <v>251</v>
      </c>
      <c r="L5" s="213" t="s">
        <v>250</v>
      </c>
      <c r="M5" s="213" t="s">
        <v>249</v>
      </c>
      <c r="N5" s="213" t="s">
        <v>248</v>
      </c>
      <c r="O5" s="214" t="s">
        <v>247</v>
      </c>
      <c r="P5" s="213" t="s">
        <v>246</v>
      </c>
      <c r="Q5" s="213" t="s">
        <v>135</v>
      </c>
    </row>
    <row r="6" spans="1:18" s="71" customFormat="1" x14ac:dyDescent="0.25">
      <c r="A6" s="183"/>
      <c r="B6" s="212" t="s">
        <v>245</v>
      </c>
    </row>
    <row r="7" spans="1:18" s="71" customFormat="1" x14ac:dyDescent="0.25">
      <c r="A7" s="166"/>
      <c r="B7" s="209" t="s">
        <v>244</v>
      </c>
      <c r="C7" s="207"/>
      <c r="D7" s="207">
        <v>0</v>
      </c>
      <c r="E7" s="207">
        <f>D7*0.03</f>
        <v>0</v>
      </c>
      <c r="F7" s="207"/>
      <c r="G7" s="207">
        <f>D7+E7+F7</f>
        <v>0</v>
      </c>
      <c r="H7" s="207"/>
      <c r="I7" s="207">
        <f>G7*0.03</f>
        <v>0</v>
      </c>
      <c r="J7" s="207"/>
      <c r="K7" s="207"/>
      <c r="L7" s="207"/>
      <c r="M7" s="207"/>
      <c r="N7" s="207"/>
      <c r="O7" s="207"/>
      <c r="P7" s="207"/>
      <c r="Q7" s="207">
        <f t="shared" ref="Q7:Q12" si="0">SUM(G7:P7)</f>
        <v>0</v>
      </c>
      <c r="R7" s="207"/>
    </row>
    <row r="8" spans="1:18" s="71" customFormat="1" x14ac:dyDescent="0.25">
      <c r="A8" s="166"/>
      <c r="B8" s="209" t="s">
        <v>243</v>
      </c>
      <c r="C8" s="207"/>
      <c r="D8" s="207">
        <v>43000</v>
      </c>
      <c r="E8" s="207">
        <v>0</v>
      </c>
      <c r="F8" s="207"/>
      <c r="G8" s="207">
        <f>D8+E8+F8</f>
        <v>43000</v>
      </c>
      <c r="H8" s="207"/>
      <c r="I8" s="207">
        <f>G8*0.03</f>
        <v>1290</v>
      </c>
      <c r="J8" s="207"/>
      <c r="K8" s="207">
        <f>359.85*12</f>
        <v>4318.2000000000007</v>
      </c>
      <c r="L8" s="207">
        <v>319</v>
      </c>
      <c r="M8" s="207">
        <v>228</v>
      </c>
      <c r="N8" s="207">
        <v>1200</v>
      </c>
      <c r="O8" s="207"/>
      <c r="P8" s="207"/>
      <c r="Q8" s="207">
        <f t="shared" si="0"/>
        <v>50355.199999999997</v>
      </c>
      <c r="R8" s="207"/>
    </row>
    <row r="9" spans="1:18" s="71" customFormat="1" x14ac:dyDescent="0.25">
      <c r="A9" s="166"/>
      <c r="B9" s="209" t="s">
        <v>242</v>
      </c>
      <c r="C9" s="207"/>
      <c r="D9" s="207">
        <v>109814</v>
      </c>
      <c r="E9" s="207">
        <f>D9*0.03</f>
        <v>3294.42</v>
      </c>
      <c r="F9" s="207"/>
      <c r="G9" s="207">
        <f>D9+E9+F9</f>
        <v>113108.42</v>
      </c>
      <c r="H9" s="207"/>
      <c r="I9" s="207">
        <f>G9*0.03</f>
        <v>3393.2525999999998</v>
      </c>
      <c r="J9" s="207"/>
      <c r="K9" s="207">
        <f>(1200*12)-L9</f>
        <v>13747</v>
      </c>
      <c r="L9" s="207">
        <f>653</f>
        <v>653</v>
      </c>
      <c r="M9" s="207">
        <v>530</v>
      </c>
      <c r="N9" s="207">
        <f>2000-800</f>
        <v>1200</v>
      </c>
      <c r="O9" s="207">
        <v>1200</v>
      </c>
      <c r="P9" s="207"/>
      <c r="Q9" s="211">
        <f t="shared" si="0"/>
        <v>133831.67259999999</v>
      </c>
      <c r="R9" s="207"/>
    </row>
    <row r="10" spans="1:18" s="71" customFormat="1" x14ac:dyDescent="0.25">
      <c r="A10" s="166"/>
      <c r="B10" s="209" t="s">
        <v>241</v>
      </c>
      <c r="C10" s="207"/>
      <c r="D10" s="207">
        <v>69423</v>
      </c>
      <c r="E10" s="207">
        <f>D10*0.03</f>
        <v>2082.69</v>
      </c>
      <c r="F10" s="207"/>
      <c r="G10" s="207">
        <f>D10+E10+F10</f>
        <v>71505.69</v>
      </c>
      <c r="H10" s="207">
        <f>(0.8*1200)*12</f>
        <v>11520</v>
      </c>
      <c r="I10" s="207">
        <f>(G10+H10)*0.03</f>
        <v>2490.7707</v>
      </c>
      <c r="J10" s="207"/>
      <c r="K10" s="207">
        <v>0</v>
      </c>
      <c r="L10" s="207">
        <v>0</v>
      </c>
      <c r="M10" s="207">
        <v>368</v>
      </c>
      <c r="N10" s="207">
        <v>1200</v>
      </c>
      <c r="O10" s="207"/>
      <c r="P10" s="207"/>
      <c r="Q10" s="206">
        <f t="shared" si="0"/>
        <v>87084.460699999996</v>
      </c>
      <c r="R10" s="207"/>
    </row>
    <row r="11" spans="1:18" s="71" customFormat="1" x14ac:dyDescent="0.25">
      <c r="A11" s="166"/>
      <c r="B11" s="209" t="s">
        <v>240</v>
      </c>
      <c r="C11" s="207"/>
      <c r="D11" s="207">
        <v>45000</v>
      </c>
      <c r="E11" s="207">
        <f>D11*0.03</f>
        <v>1350</v>
      </c>
      <c r="F11" s="207"/>
      <c r="G11" s="207">
        <f>D11+E11+F11</f>
        <v>46350</v>
      </c>
      <c r="H11" s="207"/>
      <c r="I11" s="207">
        <f>G11*0.03</f>
        <v>1390.5</v>
      </c>
      <c r="J11" s="207"/>
      <c r="K11" s="207">
        <f>359.85*12</f>
        <v>4318.2000000000007</v>
      </c>
      <c r="L11" s="207">
        <v>319</v>
      </c>
      <c r="M11" s="207">
        <v>257</v>
      </c>
      <c r="N11" s="207">
        <v>1200</v>
      </c>
      <c r="O11" s="207"/>
      <c r="P11" s="207"/>
      <c r="Q11" s="207">
        <f t="shared" si="0"/>
        <v>53834.7</v>
      </c>
      <c r="R11" s="207"/>
    </row>
    <row r="12" spans="1:18" s="71" customFormat="1" x14ac:dyDescent="0.25">
      <c r="A12" s="166"/>
      <c r="B12" s="209" t="s">
        <v>239</v>
      </c>
      <c r="C12" s="207"/>
      <c r="D12" s="207"/>
      <c r="E12" s="207"/>
      <c r="F12" s="207"/>
      <c r="G12" s="207"/>
      <c r="H12" s="207"/>
      <c r="I12" s="207">
        <v>500</v>
      </c>
      <c r="J12" s="208"/>
      <c r="K12" s="207"/>
      <c r="L12" s="207"/>
      <c r="M12" s="207"/>
      <c r="N12" s="207"/>
      <c r="O12" s="207"/>
      <c r="P12" s="207"/>
      <c r="Q12" s="206">
        <f t="shared" si="0"/>
        <v>500</v>
      </c>
      <c r="R12" s="210"/>
    </row>
    <row r="13" spans="1:18" s="71" customFormat="1" x14ac:dyDescent="0.25">
      <c r="A13" s="166"/>
      <c r="B13" s="209"/>
      <c r="C13" s="207"/>
      <c r="D13" s="207"/>
      <c r="E13" s="207"/>
      <c r="F13" s="207"/>
      <c r="G13" s="207"/>
      <c r="H13" s="207"/>
      <c r="I13" s="207"/>
      <c r="J13" s="208"/>
      <c r="K13" s="207"/>
      <c r="L13" s="207"/>
      <c r="M13" s="207"/>
      <c r="N13" s="207"/>
      <c r="O13" s="207"/>
      <c r="P13" s="207"/>
      <c r="Q13" s="206"/>
      <c r="R13" s="205">
        <f>SUM(Q7:Q12)</f>
        <v>325606.03330000001</v>
      </c>
    </row>
    <row r="14" spans="1:18" s="71" customFormat="1" x14ac:dyDescent="0.25">
      <c r="A14" s="166"/>
      <c r="B14" s="204" t="s">
        <v>238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2"/>
    </row>
    <row r="15" spans="1:18" s="71" customFormat="1" x14ac:dyDescent="0.25">
      <c r="A15" s="166"/>
      <c r="B15" s="201" t="s">
        <v>237</v>
      </c>
      <c r="C15" s="197"/>
      <c r="D15" s="197">
        <v>0</v>
      </c>
      <c r="E15" s="197">
        <f>D15*0.03</f>
        <v>0</v>
      </c>
      <c r="F15" s="197"/>
      <c r="G15" s="197">
        <f>D15+E15+F15</f>
        <v>0</v>
      </c>
      <c r="H15" s="197"/>
      <c r="I15" s="197"/>
      <c r="J15" s="197">
        <f>(G15*0.076483166)</f>
        <v>0</v>
      </c>
      <c r="K15" s="197"/>
      <c r="L15" s="197"/>
      <c r="M15" s="197"/>
      <c r="N15" s="200"/>
      <c r="O15" s="197"/>
      <c r="P15" s="197"/>
      <c r="Q15" s="199">
        <f>SUM(G15:P15)</f>
        <v>0</v>
      </c>
      <c r="R15" s="198"/>
    </row>
    <row r="16" spans="1:18" s="71" customFormat="1" x14ac:dyDescent="0.25">
      <c r="A16" s="166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6"/>
      <c r="R16" s="195">
        <f>SUM(Q15)</f>
        <v>0</v>
      </c>
    </row>
    <row r="17" spans="1:22" s="71" customFormat="1" x14ac:dyDescent="0.25">
      <c r="A17" s="166"/>
      <c r="B17" s="176" t="s">
        <v>236</v>
      </c>
      <c r="Q17" s="150"/>
    </row>
    <row r="18" spans="1:22" s="71" customFormat="1" x14ac:dyDescent="0.25">
      <c r="A18" s="166">
        <f>22.11*1.03</f>
        <v>22.773299999999999</v>
      </c>
      <c r="B18" s="194" t="s">
        <v>235</v>
      </c>
      <c r="C18" s="191" t="s">
        <v>130</v>
      </c>
      <c r="D18" s="191">
        <f>22999*(9/12)-3</f>
        <v>17246.25</v>
      </c>
      <c r="E18" s="191">
        <f>D18*0.03</f>
        <v>517.38749999999993</v>
      </c>
      <c r="F18" s="191"/>
      <c r="G18" s="191">
        <f>D18+E18+F18</f>
        <v>17763.637500000001</v>
      </c>
      <c r="H18" s="191"/>
      <c r="I18" s="191"/>
      <c r="J18" s="191">
        <f>(G18)*0.076483166</f>
        <v>1358.6192356763252</v>
      </c>
      <c r="K18" s="191"/>
      <c r="L18" s="191"/>
      <c r="M18" s="191"/>
      <c r="N18" s="191"/>
      <c r="O18" s="191"/>
      <c r="P18" s="191"/>
      <c r="Q18" s="193">
        <f>SUM(G18:P18)</f>
        <v>19122.256735676325</v>
      </c>
      <c r="R18" s="191"/>
      <c r="T18" s="168"/>
    </row>
    <row r="19" spans="1:22" s="71" customFormat="1" x14ac:dyDescent="0.25">
      <c r="A19" s="166">
        <v>23.46</v>
      </c>
      <c r="B19" s="194" t="s">
        <v>234</v>
      </c>
      <c r="C19" s="191"/>
      <c r="D19" s="191">
        <v>43178</v>
      </c>
      <c r="E19" s="191">
        <f>D19*0.13</f>
        <v>5613.14</v>
      </c>
      <c r="F19" s="191"/>
      <c r="G19" s="191">
        <f>D19+E19+F19</f>
        <v>48791.14</v>
      </c>
      <c r="H19" s="191"/>
      <c r="I19" s="191">
        <f>G19*0.03</f>
        <v>1463.7341999999999</v>
      </c>
      <c r="J19" s="191">
        <f>G19*0.076483166</f>
        <v>3731.7008599492401</v>
      </c>
      <c r="K19" s="191">
        <f>802.46*12</f>
        <v>9629.52</v>
      </c>
      <c r="L19" s="191">
        <v>1087</v>
      </c>
      <c r="M19" s="191">
        <v>229</v>
      </c>
      <c r="N19" s="191"/>
      <c r="O19" s="191"/>
      <c r="P19" s="191"/>
      <c r="Q19" s="193">
        <f>SUM(G19:P19)</f>
        <v>64932.095059949235</v>
      </c>
      <c r="R19" s="192"/>
      <c r="V19" s="150"/>
    </row>
    <row r="20" spans="1:22" s="71" customFormat="1" x14ac:dyDescent="0.25">
      <c r="A20" s="166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0"/>
      <c r="R20" s="190">
        <f>SUM(Q18:Q19)</f>
        <v>84054.351795625553</v>
      </c>
      <c r="T20" s="168"/>
      <c r="V20" s="150"/>
    </row>
    <row r="21" spans="1:22" s="71" customFormat="1" x14ac:dyDescent="0.25">
      <c r="A21" s="166"/>
      <c r="Q21" s="150"/>
      <c r="V21" s="150"/>
    </row>
    <row r="22" spans="1:22" s="71" customFormat="1" x14ac:dyDescent="0.25">
      <c r="A22" s="166"/>
      <c r="B22" s="176" t="s">
        <v>233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51"/>
      <c r="V22" s="150"/>
    </row>
    <row r="23" spans="1:22" s="71" customFormat="1" x14ac:dyDescent="0.25">
      <c r="A23" s="166">
        <f>21.54*1.03</f>
        <v>22.186199999999999</v>
      </c>
      <c r="B23" s="189" t="s">
        <v>232</v>
      </c>
      <c r="C23" s="186" t="s">
        <v>222</v>
      </c>
      <c r="D23" s="186">
        <f>21.54*20*52</f>
        <v>22401.599999999999</v>
      </c>
      <c r="E23" s="186">
        <f>D23*0.03</f>
        <v>672.04799999999989</v>
      </c>
      <c r="F23" s="186"/>
      <c r="G23" s="186">
        <f>D23+E23+F23</f>
        <v>23073.647999999997</v>
      </c>
      <c r="H23" s="186"/>
      <c r="I23" s="186"/>
      <c r="J23" s="186">
        <f>G23*0.076483166</f>
        <v>1764.7456502095679</v>
      </c>
      <c r="K23" s="186"/>
      <c r="L23" s="186"/>
      <c r="M23" s="186"/>
      <c r="N23" s="186"/>
      <c r="O23" s="186"/>
      <c r="P23" s="186"/>
      <c r="Q23" s="188">
        <f>SUM(G23:P23)</f>
        <v>24838.393650209564</v>
      </c>
      <c r="R23" s="187"/>
    </row>
    <row r="24" spans="1:22" s="71" customFormat="1" x14ac:dyDescent="0.25">
      <c r="A24" s="16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5"/>
      <c r="R24" s="185">
        <f>SUM(Q23)</f>
        <v>24838.393650209564</v>
      </c>
      <c r="U24" s="184"/>
      <c r="V24" s="168"/>
    </row>
    <row r="25" spans="1:22" s="71" customFormat="1" x14ac:dyDescent="0.25">
      <c r="A25" s="166"/>
      <c r="B25" s="176" t="s">
        <v>231</v>
      </c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51"/>
    </row>
    <row r="26" spans="1:22" s="71" customFormat="1" x14ac:dyDescent="0.25">
      <c r="A26" s="166">
        <f>13*1.03</f>
        <v>13.39</v>
      </c>
      <c r="B26" s="181" t="s">
        <v>230</v>
      </c>
      <c r="C26" s="178" t="s">
        <v>222</v>
      </c>
      <c r="D26" s="178">
        <f>13*9*52</f>
        <v>6084</v>
      </c>
      <c r="E26" s="178">
        <f>D26*0.03</f>
        <v>182.51999999999998</v>
      </c>
      <c r="F26" s="178"/>
      <c r="G26" s="178">
        <f>D26+E26+F26</f>
        <v>6266.52</v>
      </c>
      <c r="H26" s="178"/>
      <c r="I26" s="178"/>
      <c r="J26" s="178">
        <f>G26*0.076483166</f>
        <v>479.28328940232007</v>
      </c>
      <c r="K26" s="178"/>
      <c r="L26" s="178"/>
      <c r="M26" s="178"/>
      <c r="N26" s="178"/>
      <c r="O26" s="178"/>
      <c r="P26" s="178"/>
      <c r="Q26" s="180">
        <f>SUM(G26:P26)</f>
        <v>6745.8032894023208</v>
      </c>
      <c r="R26" s="178"/>
      <c r="T26" s="182"/>
      <c r="V26" s="168"/>
    </row>
    <row r="27" spans="1:22" s="71" customFormat="1" x14ac:dyDescent="0.25">
      <c r="A27" s="175">
        <v>13.39</v>
      </c>
      <c r="B27" s="181" t="s">
        <v>229</v>
      </c>
      <c r="C27" s="178" t="s">
        <v>222</v>
      </c>
      <c r="D27" s="178">
        <f>13.39*7*52</f>
        <v>4873.96</v>
      </c>
      <c r="E27" s="178">
        <v>0</v>
      </c>
      <c r="F27" s="178"/>
      <c r="G27" s="178">
        <f>D27+E27+F27</f>
        <v>4873.96</v>
      </c>
      <c r="H27" s="178"/>
      <c r="I27" s="178"/>
      <c r="J27" s="178">
        <f>G27*0.076483166</f>
        <v>372.77589175736</v>
      </c>
      <c r="K27" s="178"/>
      <c r="L27" s="178"/>
      <c r="M27" s="178"/>
      <c r="N27" s="178"/>
      <c r="O27" s="178"/>
      <c r="P27" s="178"/>
      <c r="Q27" s="180">
        <f>SUM(G27:P27)</f>
        <v>5246.7358917573602</v>
      </c>
      <c r="R27" s="178"/>
      <c r="T27" s="182"/>
      <c r="V27" s="168"/>
    </row>
    <row r="28" spans="1:22" s="71" customFormat="1" x14ac:dyDescent="0.25">
      <c r="A28" s="175">
        <v>13.39</v>
      </c>
      <c r="B28" s="181" t="s">
        <v>228</v>
      </c>
      <c r="C28" s="178" t="s">
        <v>222</v>
      </c>
      <c r="D28" s="178">
        <f>12*7*52</f>
        <v>4368</v>
      </c>
      <c r="E28" s="178">
        <f>1.39*7*52</f>
        <v>505.95999999999992</v>
      </c>
      <c r="F28" s="178"/>
      <c r="G28" s="178">
        <f>D28+E28+F28</f>
        <v>4873.96</v>
      </c>
      <c r="H28" s="178"/>
      <c r="I28" s="178"/>
      <c r="J28" s="178">
        <f>G28*0.076483166</f>
        <v>372.77589175736</v>
      </c>
      <c r="K28" s="178"/>
      <c r="L28" s="178"/>
      <c r="M28" s="178"/>
      <c r="N28" s="178"/>
      <c r="O28" s="178"/>
      <c r="P28" s="178"/>
      <c r="Q28" s="180">
        <f>SUM(G28:P28)</f>
        <v>5246.7358917573602</v>
      </c>
      <c r="R28" s="180"/>
    </row>
    <row r="29" spans="1:22" s="71" customFormat="1" x14ac:dyDescent="0.25">
      <c r="A29" s="175">
        <v>13.39</v>
      </c>
      <c r="B29" s="181" t="s">
        <v>227</v>
      </c>
      <c r="C29" s="178" t="s">
        <v>222</v>
      </c>
      <c r="D29" s="178">
        <v>0</v>
      </c>
      <c r="E29" s="178">
        <v>0</v>
      </c>
      <c r="F29" s="178"/>
      <c r="G29" s="178">
        <f>13.39*3*52</f>
        <v>2088.84</v>
      </c>
      <c r="H29" s="178"/>
      <c r="I29" s="178"/>
      <c r="J29" s="178">
        <f>G29*0.076483166</f>
        <v>159.76109646744001</v>
      </c>
      <c r="K29" s="178"/>
      <c r="L29" s="178"/>
      <c r="M29" s="178"/>
      <c r="N29" s="178"/>
      <c r="O29" s="178"/>
      <c r="P29" s="178"/>
      <c r="Q29" s="180">
        <f>SUM(G29:P29)</f>
        <v>2248.6010964674401</v>
      </c>
      <c r="R29" s="179"/>
    </row>
    <row r="30" spans="1:22" s="71" customFormat="1" x14ac:dyDescent="0.25">
      <c r="A30" s="166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7"/>
      <c r="R30" s="177">
        <f>SUM(Q26:Q29)</f>
        <v>19487.876169384483</v>
      </c>
    </row>
    <row r="31" spans="1:22" s="71" customFormat="1" x14ac:dyDescent="0.25">
      <c r="A31" s="166"/>
      <c r="B31" s="176" t="s">
        <v>226</v>
      </c>
      <c r="Q31" s="150"/>
    </row>
    <row r="32" spans="1:22" s="71" customFormat="1" x14ac:dyDescent="0.25">
      <c r="A32" s="175">
        <v>12</v>
      </c>
      <c r="B32" s="174" t="s">
        <v>225</v>
      </c>
      <c r="C32" s="173" t="s">
        <v>131</v>
      </c>
      <c r="D32" s="173">
        <v>5200</v>
      </c>
      <c r="E32" s="173"/>
      <c r="F32" s="173">
        <v>0</v>
      </c>
      <c r="G32" s="173">
        <f>D32+E32+F32-E32</f>
        <v>5200</v>
      </c>
      <c r="H32" s="173"/>
      <c r="I32" s="173"/>
      <c r="J32" s="173">
        <f>G32*0.076483166</f>
        <v>397.7124632</v>
      </c>
      <c r="K32" s="173"/>
      <c r="L32" s="173"/>
      <c r="M32" s="173"/>
      <c r="N32" s="173"/>
      <c r="O32" s="173"/>
      <c r="P32" s="173"/>
      <c r="Q32" s="173"/>
      <c r="R32" s="172">
        <f>SUM(G32:O32)</f>
        <v>5597.7124631999995</v>
      </c>
    </row>
    <row r="33" spans="1:23" s="71" customFormat="1" x14ac:dyDescent="0.25">
      <c r="A33" s="166"/>
      <c r="B33" s="174" t="s">
        <v>224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>
        <v>350</v>
      </c>
      <c r="O33" s="173"/>
      <c r="P33" s="173"/>
      <c r="Q33" s="173"/>
      <c r="R33" s="172">
        <f>SUM(G33:O33)</f>
        <v>350</v>
      </c>
    </row>
    <row r="34" spans="1:23" s="71" customFormat="1" x14ac:dyDescent="0.25">
      <c r="A34" s="166"/>
      <c r="B34" s="171" t="s">
        <v>223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69">
        <v>5500</v>
      </c>
      <c r="Q34" s="170"/>
      <c r="R34" s="169">
        <f>SUM(G34:P34)</f>
        <v>5500</v>
      </c>
      <c r="W34" s="168"/>
    </row>
    <row r="35" spans="1:23" s="71" customFormat="1" x14ac:dyDescent="0.25">
      <c r="A35" s="166"/>
      <c r="D35" s="167">
        <f t="shared" ref="D35:P35" si="1">SUM(D7:D34)</f>
        <v>370588.81</v>
      </c>
      <c r="E35" s="167">
        <f t="shared" si="1"/>
        <v>14218.165500000001</v>
      </c>
      <c r="F35" s="167">
        <f t="shared" si="1"/>
        <v>0</v>
      </c>
      <c r="G35" s="167">
        <f t="shared" si="1"/>
        <v>386895.81550000008</v>
      </c>
      <c r="H35" s="167">
        <f t="shared" si="1"/>
        <v>11520</v>
      </c>
      <c r="I35" s="167">
        <f t="shared" si="1"/>
        <v>10528.2575</v>
      </c>
      <c r="J35" s="167">
        <f t="shared" si="1"/>
        <v>8637.3743784196122</v>
      </c>
      <c r="K35" s="167">
        <f t="shared" si="1"/>
        <v>32012.920000000002</v>
      </c>
      <c r="L35" s="167">
        <f t="shared" si="1"/>
        <v>2378</v>
      </c>
      <c r="M35" s="167">
        <f t="shared" si="1"/>
        <v>1612</v>
      </c>
      <c r="N35" s="167">
        <f t="shared" si="1"/>
        <v>5150</v>
      </c>
      <c r="O35" s="167">
        <f t="shared" si="1"/>
        <v>1200</v>
      </c>
      <c r="P35" s="71">
        <f t="shared" si="1"/>
        <v>5500</v>
      </c>
      <c r="Q35" s="167"/>
      <c r="R35" s="71">
        <f>SUM(R7:R34)</f>
        <v>465434.36737841956</v>
      </c>
    </row>
    <row r="36" spans="1:23" s="71" customFormat="1" x14ac:dyDescent="0.25">
      <c r="A36" s="166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Q36" s="150"/>
    </row>
    <row r="37" spans="1:23" s="71" customFormat="1" x14ac:dyDescent="0.25">
      <c r="A37" s="166" t="s">
        <v>222</v>
      </c>
      <c r="B37" t="s">
        <v>221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23" x14ac:dyDescent="0.25">
      <c r="A38" s="165" t="s">
        <v>220</v>
      </c>
      <c r="B38" t="s">
        <v>219</v>
      </c>
    </row>
    <row r="39" spans="1:23" x14ac:dyDescent="0.25">
      <c r="A39" s="165" t="s">
        <v>130</v>
      </c>
      <c r="B39" t="s">
        <v>218</v>
      </c>
    </row>
    <row r="40" spans="1:23" x14ac:dyDescent="0.25">
      <c r="A40" s="165" t="s">
        <v>131</v>
      </c>
      <c r="B40" t="s">
        <v>217</v>
      </c>
    </row>
    <row r="42" spans="1:23" x14ac:dyDescent="0.25">
      <c r="B42" t="s">
        <v>216</v>
      </c>
      <c r="E42" s="16"/>
      <c r="F42" s="16"/>
      <c r="G42" s="16"/>
      <c r="H42" s="16"/>
      <c r="I42" s="16"/>
      <c r="J42" s="16"/>
      <c r="K42" s="16"/>
      <c r="L42" s="16"/>
    </row>
    <row r="45" spans="1:23" x14ac:dyDescent="0.25">
      <c r="E45" s="16"/>
      <c r="F45" s="16"/>
      <c r="G45" s="16"/>
      <c r="H45" s="16"/>
      <c r="I45" s="16"/>
      <c r="J45" s="16"/>
      <c r="K45" s="16"/>
      <c r="L45" s="16"/>
    </row>
  </sheetData>
  <pageMargins left="0.2" right="0.2" top="0" bottom="0" header="0.3" footer="0.3"/>
  <pageSetup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BB169"/>
  <sheetViews>
    <sheetView zoomScaleNormal="100" workbookViewId="0">
      <pane xSplit="7" ySplit="4" topLeftCell="H5" activePane="bottomRight" state="frozenSplit"/>
      <selection pane="topRight" activeCell="H1" sqref="H1"/>
      <selection pane="bottomLeft" activeCell="A3" sqref="A3"/>
      <selection pane="bottomRight" activeCell="G3" sqref="G3"/>
    </sheetView>
  </sheetViews>
  <sheetFormatPr defaultRowHeight="15" x14ac:dyDescent="0.25"/>
  <cols>
    <col min="1" max="6" width="0.85546875" style="5" customWidth="1"/>
    <col min="7" max="7" width="30.28515625" style="5" customWidth="1"/>
    <col min="8" max="14" width="9.7109375" style="6" customWidth="1"/>
    <col min="15" max="15" width="9.7109375" customWidth="1"/>
    <col min="16" max="16" width="2.140625" customWidth="1"/>
    <col min="17" max="17" width="1.7109375" customWidth="1"/>
    <col min="18" max="18" width="5.85546875" customWidth="1"/>
    <col min="19" max="20" width="1.7109375" customWidth="1"/>
    <col min="21" max="21" width="2.7109375" customWidth="1"/>
    <col min="22" max="25" width="1.7109375" customWidth="1"/>
    <col min="26" max="26" width="2.7109375" customWidth="1"/>
    <col min="27" max="27" width="2.28515625" customWidth="1"/>
    <col min="28" max="28" width="30.7109375" customWidth="1"/>
    <col min="29" max="30" width="9.7109375" customWidth="1"/>
    <col min="31" max="31" width="7.7109375" customWidth="1"/>
    <col min="32" max="32" width="1.7109375" customWidth="1"/>
    <col min="33" max="33" width="2.7109375" customWidth="1"/>
    <col min="34" max="37" width="1.7109375" customWidth="1"/>
    <col min="38" max="38" width="2.7109375" customWidth="1"/>
    <col min="39" max="39" width="2.28515625" customWidth="1"/>
    <col min="40" max="40" width="30.7109375" customWidth="1"/>
    <col min="41" max="42" width="9.7109375" customWidth="1"/>
    <col min="43" max="43" width="7.7109375" customWidth="1"/>
    <col min="44" max="44" width="1.7109375" customWidth="1"/>
    <col min="45" max="45" width="2.7109375" customWidth="1"/>
    <col min="46" max="49" width="1.7109375" customWidth="1"/>
    <col min="50" max="50" width="2.7109375" customWidth="1"/>
    <col min="51" max="51" width="2.28515625" customWidth="1"/>
    <col min="52" max="52" width="30.7109375" customWidth="1"/>
    <col min="53" max="54" width="9.7109375" customWidth="1"/>
    <col min="55" max="55" width="7.7109375" customWidth="1"/>
  </cols>
  <sheetData>
    <row r="1" spans="1:54" ht="12" customHeight="1" x14ac:dyDescent="0.25">
      <c r="A1" s="1"/>
      <c r="B1" s="1"/>
      <c r="C1" s="1"/>
      <c r="D1" s="1"/>
      <c r="E1" s="1"/>
      <c r="F1" s="1"/>
      <c r="G1" s="1"/>
      <c r="H1" s="44" t="s">
        <v>130</v>
      </c>
      <c r="I1" s="44" t="s">
        <v>131</v>
      </c>
      <c r="J1" s="44" t="s">
        <v>132</v>
      </c>
      <c r="K1" s="103"/>
      <c r="L1" s="103"/>
      <c r="M1" s="103"/>
      <c r="N1" s="104" t="s">
        <v>133</v>
      </c>
      <c r="O1" s="46" t="s">
        <v>133</v>
      </c>
      <c r="Q1" s="35"/>
      <c r="R1" s="3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H1" s="16"/>
      <c r="AI1" s="16"/>
      <c r="AJ1" s="16"/>
      <c r="AK1" s="16"/>
      <c r="AL1" s="16"/>
      <c r="AM1" s="16"/>
      <c r="AN1" s="16"/>
      <c r="AO1" s="16"/>
    </row>
    <row r="2" spans="1:54" ht="12" customHeight="1" x14ac:dyDescent="0.25">
      <c r="A2" s="1"/>
      <c r="B2" s="1"/>
      <c r="C2" s="1"/>
      <c r="D2" s="1"/>
      <c r="E2" s="1"/>
      <c r="F2" s="1"/>
      <c r="G2" s="1" t="s">
        <v>277</v>
      </c>
      <c r="H2" s="47" t="s">
        <v>144</v>
      </c>
      <c r="I2" s="47" t="s">
        <v>134</v>
      </c>
      <c r="J2" s="48" t="s">
        <v>135</v>
      </c>
      <c r="K2" s="132" t="s">
        <v>136</v>
      </c>
      <c r="L2" s="132" t="s">
        <v>147</v>
      </c>
      <c r="M2" s="157" t="s">
        <v>147</v>
      </c>
      <c r="N2" s="55" t="s">
        <v>137</v>
      </c>
      <c r="O2" s="47" t="s">
        <v>137</v>
      </c>
      <c r="Q2" s="35"/>
      <c r="R2" s="3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H2" s="16"/>
      <c r="AI2" s="16"/>
      <c r="AJ2" s="16"/>
      <c r="AK2" s="16"/>
      <c r="AL2" s="16"/>
      <c r="AM2" s="16"/>
      <c r="AN2" s="16"/>
      <c r="AO2" s="16"/>
    </row>
    <row r="3" spans="1:54" ht="12" customHeight="1" x14ac:dyDescent="0.25">
      <c r="A3" s="1"/>
      <c r="B3" s="1"/>
      <c r="C3" s="1"/>
      <c r="D3" s="1"/>
      <c r="E3" s="1"/>
      <c r="F3" s="1"/>
      <c r="G3" s="1"/>
      <c r="H3" s="47" t="s">
        <v>138</v>
      </c>
      <c r="I3" s="47" t="s">
        <v>143</v>
      </c>
      <c r="J3" s="133" t="s">
        <v>134</v>
      </c>
      <c r="K3" s="47" t="s">
        <v>139</v>
      </c>
      <c r="L3" s="47" t="s">
        <v>128</v>
      </c>
      <c r="M3" s="158" t="s">
        <v>128</v>
      </c>
      <c r="N3" s="49" t="s">
        <v>157</v>
      </c>
      <c r="O3" s="50" t="s">
        <v>171</v>
      </c>
      <c r="Q3" s="35"/>
      <c r="R3" s="3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F3" s="11"/>
      <c r="AG3" s="11"/>
      <c r="AH3" s="18"/>
      <c r="AI3" s="18"/>
      <c r="AJ3" s="18"/>
      <c r="AK3" s="18"/>
      <c r="AL3" s="18"/>
      <c r="AM3" s="18"/>
      <c r="AN3" s="18"/>
      <c r="AO3" s="18"/>
    </row>
    <row r="4" spans="1:54" s="4" customFormat="1" ht="12" customHeight="1" thickBot="1" x14ac:dyDescent="0.3">
      <c r="A4" s="3"/>
      <c r="B4" s="3"/>
      <c r="C4" s="3"/>
      <c r="D4" s="3"/>
      <c r="E4" s="3"/>
      <c r="F4" s="3"/>
      <c r="G4" s="3"/>
      <c r="H4" s="51" t="s">
        <v>145</v>
      </c>
      <c r="I4" s="51" t="s">
        <v>146</v>
      </c>
      <c r="J4" s="51" t="s">
        <v>136</v>
      </c>
      <c r="K4" s="134" t="s">
        <v>128</v>
      </c>
      <c r="L4" s="135" t="s">
        <v>148</v>
      </c>
      <c r="M4" s="159" t="s">
        <v>158</v>
      </c>
      <c r="N4" s="52" t="s">
        <v>171</v>
      </c>
      <c r="O4" s="52" t="s">
        <v>172</v>
      </c>
      <c r="R4" s="113"/>
      <c r="S4" s="113"/>
      <c r="T4" s="112" t="s">
        <v>149</v>
      </c>
      <c r="U4" s="106"/>
      <c r="V4" s="106"/>
      <c r="W4" s="114"/>
      <c r="X4" s="105"/>
      <c r="Y4" s="106"/>
      <c r="Z4" s="117" t="s">
        <v>153</v>
      </c>
      <c r="AA4" s="126"/>
      <c r="AB4" s="118"/>
      <c r="AC4" s="118"/>
      <c r="AF4" s="107" t="s">
        <v>140</v>
      </c>
      <c r="AG4" s="108"/>
      <c r="AH4" s="108"/>
      <c r="AI4" s="108"/>
      <c r="AJ4" s="108"/>
      <c r="AK4" s="108"/>
      <c r="AL4" s="109"/>
      <c r="AM4" s="109"/>
      <c r="AN4" s="115" t="s">
        <v>152</v>
      </c>
      <c r="AO4" s="116"/>
      <c r="AR4" s="107" t="s">
        <v>150</v>
      </c>
      <c r="AS4" s="108"/>
      <c r="AT4" s="108"/>
      <c r="AU4" s="108"/>
      <c r="AV4" s="108"/>
      <c r="AW4" s="108"/>
      <c r="AX4" s="109"/>
      <c r="AY4" s="109"/>
      <c r="AZ4" s="124" t="s">
        <v>151</v>
      </c>
      <c r="BA4" s="125"/>
    </row>
    <row r="5" spans="1:54" ht="14.85" customHeight="1" thickTop="1" thickBot="1" x14ac:dyDescent="0.3">
      <c r="A5" s="1"/>
      <c r="B5" s="1" t="s">
        <v>0</v>
      </c>
      <c r="C5" s="1"/>
      <c r="D5" s="1"/>
      <c r="E5" s="1"/>
      <c r="F5" s="1"/>
      <c r="G5" s="1"/>
      <c r="H5" s="7"/>
      <c r="I5" s="7"/>
      <c r="J5" s="7"/>
      <c r="K5" s="2"/>
      <c r="L5" s="20"/>
      <c r="M5" s="20"/>
      <c r="N5" s="20"/>
      <c r="Q5" s="17"/>
      <c r="R5" s="17"/>
      <c r="S5" s="17"/>
      <c r="T5" s="17"/>
      <c r="U5" s="26"/>
      <c r="V5" s="3"/>
      <c r="W5" s="3"/>
      <c r="X5" s="3"/>
      <c r="Y5" s="3"/>
      <c r="Z5" s="3"/>
      <c r="AA5" s="3"/>
      <c r="AB5" s="3"/>
      <c r="AC5" s="43" t="s">
        <v>154</v>
      </c>
      <c r="AD5" s="87" t="s">
        <v>128</v>
      </c>
      <c r="AE5" s="22"/>
      <c r="AG5" s="25"/>
      <c r="AH5" s="3"/>
      <c r="AI5" s="3"/>
      <c r="AJ5" s="3"/>
      <c r="AK5" s="3"/>
      <c r="AL5" s="3"/>
      <c r="AM5" s="3"/>
      <c r="AN5" s="3"/>
      <c r="AO5" s="87" t="s">
        <v>155</v>
      </c>
      <c r="AP5" s="43" t="s">
        <v>128</v>
      </c>
      <c r="AQ5" s="16"/>
      <c r="AS5" s="25"/>
      <c r="AT5" s="3"/>
      <c r="AU5" s="3"/>
      <c r="AV5" s="3"/>
      <c r="AW5" s="3"/>
      <c r="AX5" s="3"/>
      <c r="AY5" s="3"/>
      <c r="AZ5" s="3"/>
      <c r="BA5" s="87" t="s">
        <v>156</v>
      </c>
      <c r="BB5" s="43" t="s">
        <v>128</v>
      </c>
    </row>
    <row r="6" spans="1:54" ht="9.9499999999999993" customHeight="1" thickTop="1" x14ac:dyDescent="0.25">
      <c r="A6" s="1"/>
      <c r="B6" s="1"/>
      <c r="C6" s="1"/>
      <c r="D6" s="1"/>
      <c r="E6" s="1"/>
      <c r="F6" s="1"/>
      <c r="G6" s="1"/>
      <c r="H6" s="7"/>
      <c r="I6" s="7"/>
      <c r="J6" s="7"/>
      <c r="K6" s="20"/>
      <c r="L6" s="20"/>
      <c r="M6" s="20"/>
      <c r="N6" s="20"/>
      <c r="Q6" s="17"/>
      <c r="R6" s="17"/>
      <c r="S6" s="17"/>
      <c r="T6" s="17"/>
      <c r="U6" s="26"/>
      <c r="V6" s="1"/>
      <c r="W6" s="1" t="s">
        <v>0</v>
      </c>
      <c r="X6" s="1"/>
      <c r="Y6" s="1"/>
      <c r="Z6" s="1"/>
      <c r="AA6" s="1"/>
      <c r="AB6" s="1"/>
      <c r="AC6" s="20"/>
      <c r="AD6" s="88"/>
      <c r="AE6" s="20"/>
      <c r="AG6" s="25"/>
      <c r="AH6" s="1"/>
      <c r="AI6" s="1" t="s">
        <v>0</v>
      </c>
      <c r="AJ6" s="1"/>
      <c r="AK6" s="1"/>
      <c r="AL6" s="1"/>
      <c r="AM6" s="1"/>
      <c r="AN6" s="1"/>
      <c r="AO6" s="88"/>
      <c r="AP6" s="20"/>
      <c r="AQ6" s="16"/>
      <c r="AS6" s="25"/>
      <c r="AT6" s="1"/>
      <c r="AU6" s="1" t="s">
        <v>0</v>
      </c>
      <c r="AV6" s="1"/>
      <c r="AW6" s="1"/>
      <c r="AX6" s="1"/>
      <c r="AY6" s="1"/>
      <c r="AZ6" s="1"/>
      <c r="BA6" s="88"/>
      <c r="BB6" s="20"/>
    </row>
    <row r="7" spans="1:54" ht="14.1" customHeight="1" x14ac:dyDescent="0.25">
      <c r="A7" s="37"/>
      <c r="B7" s="1"/>
      <c r="C7" s="1"/>
      <c r="D7" s="1" t="s">
        <v>1</v>
      </c>
      <c r="E7" s="1"/>
      <c r="F7" s="1"/>
      <c r="G7" s="1"/>
      <c r="H7" s="227"/>
      <c r="I7" s="227"/>
      <c r="J7" s="227"/>
      <c r="K7" s="227"/>
      <c r="L7" s="227"/>
      <c r="M7" s="227"/>
      <c r="N7" s="227"/>
      <c r="O7" s="227"/>
      <c r="Q7" s="17"/>
      <c r="R7" s="17"/>
      <c r="S7" s="17"/>
      <c r="T7" s="17"/>
      <c r="U7" s="17"/>
      <c r="V7" s="1"/>
      <c r="W7" s="1"/>
      <c r="X7" s="1"/>
      <c r="Y7" s="1" t="s">
        <v>1</v>
      </c>
      <c r="Z7" s="1"/>
      <c r="AA7" s="1"/>
      <c r="AB7" s="1"/>
      <c r="AC7" s="20"/>
      <c r="AD7" s="88"/>
      <c r="AE7" s="20"/>
      <c r="AG7" s="1"/>
      <c r="AH7" s="1"/>
      <c r="AI7" s="1"/>
      <c r="AJ7" s="1"/>
      <c r="AK7" s="1" t="s">
        <v>1</v>
      </c>
      <c r="AL7" s="1"/>
      <c r="AM7" s="1"/>
      <c r="AN7" s="1"/>
      <c r="AO7" s="88"/>
      <c r="AP7" s="20"/>
      <c r="AQ7" s="16"/>
      <c r="AS7" s="1"/>
      <c r="AT7" s="1"/>
      <c r="AU7" s="1"/>
      <c r="AV7" s="1"/>
      <c r="AW7" s="1" t="s">
        <v>1</v>
      </c>
      <c r="AX7" s="1"/>
      <c r="AY7" s="1"/>
      <c r="AZ7" s="1"/>
      <c r="BA7" s="88"/>
      <c r="BB7" s="20"/>
    </row>
    <row r="8" spans="1:54" ht="14.85" customHeight="1" x14ac:dyDescent="0.25">
      <c r="A8" s="37"/>
      <c r="B8" s="1"/>
      <c r="C8" s="1"/>
      <c r="D8" s="1"/>
      <c r="E8" s="1" t="s">
        <v>2</v>
      </c>
      <c r="F8" s="1"/>
      <c r="G8" s="1"/>
      <c r="H8" s="66"/>
      <c r="I8" s="66"/>
      <c r="J8" s="66"/>
      <c r="K8" s="66"/>
      <c r="L8" s="66"/>
      <c r="M8" s="160" t="s">
        <v>183</v>
      </c>
      <c r="N8" s="66"/>
      <c r="O8" s="64"/>
      <c r="Q8" s="17"/>
      <c r="R8" s="17"/>
      <c r="S8" s="17"/>
      <c r="T8" s="17"/>
      <c r="U8" s="17"/>
      <c r="V8" s="1"/>
      <c r="W8" s="1"/>
      <c r="X8" s="1"/>
      <c r="Y8" s="1"/>
      <c r="Z8" s="1" t="s">
        <v>2</v>
      </c>
      <c r="AA8" s="1"/>
      <c r="AB8" s="1"/>
      <c r="AC8" s="20"/>
      <c r="AD8" s="88"/>
      <c r="AE8" s="20"/>
      <c r="AG8" s="1"/>
      <c r="AH8" s="1"/>
      <c r="AI8" s="1"/>
      <c r="AJ8" s="1"/>
      <c r="AK8" s="1"/>
      <c r="AL8" s="1" t="s">
        <v>2</v>
      </c>
      <c r="AM8" s="1"/>
      <c r="AN8" s="1"/>
      <c r="AO8" s="88"/>
      <c r="AP8" s="20"/>
      <c r="AQ8" s="16"/>
      <c r="AS8" s="1"/>
      <c r="AT8" s="1"/>
      <c r="AU8" s="1"/>
      <c r="AV8" s="1"/>
      <c r="AW8" s="1"/>
      <c r="AX8" s="1" t="s">
        <v>2</v>
      </c>
      <c r="AY8" s="1"/>
      <c r="AZ8" s="1"/>
      <c r="BA8" s="88"/>
      <c r="BB8" s="20"/>
    </row>
    <row r="9" spans="1:54" ht="14.85" customHeight="1" x14ac:dyDescent="0.25">
      <c r="A9" s="37"/>
      <c r="B9" s="1"/>
      <c r="C9" s="1"/>
      <c r="D9" s="1"/>
      <c r="E9" s="1"/>
      <c r="F9" s="1" t="s">
        <v>3</v>
      </c>
      <c r="G9" s="1"/>
      <c r="H9" s="69">
        <v>575157.35</v>
      </c>
      <c r="I9" s="121">
        <f>180224.39-50000+31188</f>
        <v>161412.39000000001</v>
      </c>
      <c r="J9" s="119">
        <f>SUM(H9:I9)</f>
        <v>736569.74</v>
      </c>
      <c r="K9" s="61">
        <v>813000</v>
      </c>
      <c r="L9" s="128">
        <f>L130-(L11+L12+L13)</f>
        <v>806034.14999999991</v>
      </c>
      <c r="M9" s="128">
        <f>M130-(M11+M12+M13)</f>
        <v>789698</v>
      </c>
      <c r="N9" s="129">
        <f>L9-J9</f>
        <v>69464.409999999916</v>
      </c>
      <c r="O9" s="138">
        <f>M9-L9</f>
        <v>-16336.149999999907</v>
      </c>
      <c r="Q9" s="17"/>
      <c r="R9" s="17"/>
      <c r="S9" s="17"/>
      <c r="T9" s="17"/>
      <c r="U9" s="17"/>
      <c r="V9" s="1"/>
      <c r="W9" s="1"/>
      <c r="X9" s="1"/>
      <c r="Y9" s="1"/>
      <c r="Z9" s="1"/>
      <c r="AA9" s="1" t="s">
        <v>3</v>
      </c>
      <c r="AB9" s="1"/>
      <c r="AC9" s="20">
        <v>606969.36</v>
      </c>
      <c r="AD9" s="88">
        <v>813000</v>
      </c>
      <c r="AE9" s="20"/>
      <c r="AG9" s="1"/>
      <c r="AH9" s="1"/>
      <c r="AI9" s="1"/>
      <c r="AJ9" s="1"/>
      <c r="AK9" s="1"/>
      <c r="AL9" s="1"/>
      <c r="AM9" s="1" t="s">
        <v>3</v>
      </c>
      <c r="AN9" s="1"/>
      <c r="AO9" s="88">
        <v>575157.35</v>
      </c>
      <c r="AP9" s="20">
        <v>609750</v>
      </c>
      <c r="AQ9" s="16"/>
      <c r="AS9" s="1"/>
      <c r="AT9" s="1"/>
      <c r="AU9" s="1"/>
      <c r="AV9" s="1"/>
      <c r="AW9" s="1"/>
      <c r="AX9" s="1"/>
      <c r="AY9" s="1" t="s">
        <v>3</v>
      </c>
      <c r="AZ9" s="1"/>
      <c r="BA9" s="88">
        <v>180224.39</v>
      </c>
      <c r="BB9" s="20">
        <v>203250</v>
      </c>
    </row>
    <row r="10" spans="1:54" ht="14.85" customHeight="1" x14ac:dyDescent="0.25">
      <c r="A10" s="37"/>
      <c r="B10" s="1"/>
      <c r="C10" s="1"/>
      <c r="D10" s="1"/>
      <c r="E10" s="1"/>
      <c r="F10" s="1" t="s">
        <v>106</v>
      </c>
      <c r="G10" s="1"/>
      <c r="H10" s="69"/>
      <c r="I10" s="121">
        <v>0</v>
      </c>
      <c r="J10" s="119">
        <f t="shared" ref="J10:J13" si="0">SUM(H10:I10)</f>
        <v>0</v>
      </c>
      <c r="K10" s="61"/>
      <c r="L10" s="128"/>
      <c r="M10" s="128"/>
      <c r="N10" s="129">
        <f t="shared" ref="N10:N13" si="1">L10-J10</f>
        <v>0</v>
      </c>
      <c r="O10" s="138">
        <f t="shared" ref="O10:O13" si="2">M10-L10</f>
        <v>0</v>
      </c>
      <c r="Q10" s="17"/>
      <c r="R10" s="17"/>
      <c r="S10" s="17"/>
      <c r="T10" s="17"/>
      <c r="U10" s="17"/>
      <c r="V10" s="1"/>
      <c r="W10" s="1"/>
      <c r="X10" s="1"/>
      <c r="Y10" s="1"/>
      <c r="Z10" s="1"/>
      <c r="AA10" s="1" t="s">
        <v>4</v>
      </c>
      <c r="AB10" s="1"/>
      <c r="AC10" s="20">
        <v>600</v>
      </c>
      <c r="AD10" s="88">
        <v>400</v>
      </c>
      <c r="AE10" s="20"/>
      <c r="AG10" s="1"/>
      <c r="AH10" s="1"/>
      <c r="AI10" s="1"/>
      <c r="AJ10" s="1"/>
      <c r="AK10" s="1"/>
      <c r="AL10" s="1"/>
      <c r="AM10" s="1" t="s">
        <v>4</v>
      </c>
      <c r="AN10" s="1"/>
      <c r="AO10" s="88">
        <v>600</v>
      </c>
      <c r="AP10" s="20">
        <v>297</v>
      </c>
      <c r="AQ10" s="16"/>
      <c r="AS10" s="1"/>
      <c r="AT10" s="1"/>
      <c r="AU10" s="1"/>
      <c r="AV10" s="1"/>
      <c r="AW10" s="1"/>
      <c r="AX10" s="1"/>
      <c r="AY10" s="1" t="s">
        <v>106</v>
      </c>
      <c r="AZ10" s="1"/>
      <c r="BA10" s="88">
        <v>100106.91</v>
      </c>
      <c r="BB10" s="20"/>
    </row>
    <row r="11" spans="1:54" ht="14.85" customHeight="1" x14ac:dyDescent="0.25">
      <c r="A11" s="37"/>
      <c r="B11" s="1"/>
      <c r="C11" s="1"/>
      <c r="D11" s="1"/>
      <c r="E11" s="1"/>
      <c r="F11" s="1" t="s">
        <v>4</v>
      </c>
      <c r="G11" s="1"/>
      <c r="H11" s="69">
        <v>600</v>
      </c>
      <c r="I11" s="121"/>
      <c r="J11" s="119">
        <f t="shared" si="0"/>
        <v>600</v>
      </c>
      <c r="K11" s="61">
        <v>400</v>
      </c>
      <c r="L11" s="128">
        <f t="shared" ref="L11:L13" si="3">K11-(K11*0.05)</f>
        <v>380</v>
      </c>
      <c r="M11" s="128">
        <v>380</v>
      </c>
      <c r="N11" s="129">
        <f t="shared" si="1"/>
        <v>-220</v>
      </c>
      <c r="O11" s="138">
        <f t="shared" si="2"/>
        <v>0</v>
      </c>
      <c r="Q11" s="17"/>
      <c r="R11" s="17"/>
      <c r="S11" s="17"/>
      <c r="T11" s="17"/>
      <c r="U11" s="17"/>
      <c r="V11" s="1"/>
      <c r="W11" s="1"/>
      <c r="X11" s="1"/>
      <c r="Y11" s="1"/>
      <c r="Z11" s="1"/>
      <c r="AA11" s="1" t="s">
        <v>5</v>
      </c>
      <c r="AB11" s="1"/>
      <c r="AC11" s="20">
        <v>1552.07</v>
      </c>
      <c r="AD11" s="88">
        <v>5800</v>
      </c>
      <c r="AE11" s="20"/>
      <c r="AG11" s="1"/>
      <c r="AH11" s="1"/>
      <c r="AI11" s="1"/>
      <c r="AJ11" s="1"/>
      <c r="AK11" s="1"/>
      <c r="AL11" s="1"/>
      <c r="AM11" s="1" t="s">
        <v>5</v>
      </c>
      <c r="AN11" s="1"/>
      <c r="AO11" s="88">
        <v>1421.74</v>
      </c>
      <c r="AP11" s="20">
        <v>4347</v>
      </c>
      <c r="AQ11" s="16"/>
      <c r="AS11" s="1"/>
      <c r="AT11" s="1"/>
      <c r="AU11" s="1"/>
      <c r="AV11" s="1"/>
      <c r="AW11" s="1"/>
      <c r="AX11" s="1"/>
      <c r="AY11" s="1" t="s">
        <v>5</v>
      </c>
      <c r="AZ11" s="1"/>
      <c r="BA11" s="88">
        <v>1347.72</v>
      </c>
      <c r="BB11" s="20">
        <v>1950</v>
      </c>
    </row>
    <row r="12" spans="1:54" ht="14.85" customHeight="1" thickBot="1" x14ac:dyDescent="0.3">
      <c r="A12" s="37"/>
      <c r="B12" s="1"/>
      <c r="C12" s="1"/>
      <c r="D12" s="1"/>
      <c r="E12" s="1"/>
      <c r="F12" s="1" t="s">
        <v>5</v>
      </c>
      <c r="G12" s="1"/>
      <c r="H12" s="69">
        <v>1421.74</v>
      </c>
      <c r="I12" s="121">
        <v>1347.72</v>
      </c>
      <c r="J12" s="119">
        <f t="shared" si="0"/>
        <v>2769.46</v>
      </c>
      <c r="K12" s="61">
        <v>5800</v>
      </c>
      <c r="L12" s="128">
        <f t="shared" si="3"/>
        <v>5510</v>
      </c>
      <c r="M12" s="128">
        <f>5510-3010</f>
        <v>2500</v>
      </c>
      <c r="N12" s="129">
        <f t="shared" si="1"/>
        <v>2740.54</v>
      </c>
      <c r="O12" s="138">
        <f t="shared" si="2"/>
        <v>-3010</v>
      </c>
      <c r="Q12" s="17"/>
      <c r="R12" s="17"/>
      <c r="S12" s="17"/>
      <c r="T12" s="17"/>
      <c r="U12" s="17"/>
      <c r="V12" s="1"/>
      <c r="W12" s="1"/>
      <c r="X12" s="1"/>
      <c r="Y12" s="1"/>
      <c r="Z12" s="1"/>
      <c r="AA12" s="1" t="s">
        <v>6</v>
      </c>
      <c r="AB12" s="1"/>
      <c r="AC12" s="20">
        <v>28000</v>
      </c>
      <c r="AD12" s="88">
        <v>33600</v>
      </c>
      <c r="AE12" s="20"/>
      <c r="AG12" s="1"/>
      <c r="AH12" s="1"/>
      <c r="AI12" s="1"/>
      <c r="AJ12" s="1"/>
      <c r="AK12" s="1"/>
      <c r="AL12" s="1"/>
      <c r="AM12" s="1" t="s">
        <v>6</v>
      </c>
      <c r="AN12" s="1"/>
      <c r="AO12" s="88">
        <v>25200</v>
      </c>
      <c r="AP12" s="20">
        <v>25200</v>
      </c>
      <c r="AQ12" s="16"/>
      <c r="AS12" s="1"/>
      <c r="AT12" s="1"/>
      <c r="AU12" s="1"/>
      <c r="AV12" s="1"/>
      <c r="AW12" s="1"/>
      <c r="AX12" s="1"/>
      <c r="AY12" s="1" t="s">
        <v>6</v>
      </c>
      <c r="AZ12" s="1"/>
      <c r="BA12" s="88">
        <v>8400</v>
      </c>
      <c r="BB12" s="20">
        <v>8100</v>
      </c>
    </row>
    <row r="13" spans="1:54" ht="14.85" customHeight="1" thickBot="1" x14ac:dyDescent="0.3">
      <c r="A13" s="37"/>
      <c r="B13" s="1"/>
      <c r="C13" s="1"/>
      <c r="D13" s="1"/>
      <c r="E13" s="1"/>
      <c r="F13" s="1" t="s">
        <v>6</v>
      </c>
      <c r="G13" s="1"/>
      <c r="H13" s="69">
        <v>25200</v>
      </c>
      <c r="I13" s="121">
        <v>8400</v>
      </c>
      <c r="J13" s="119">
        <f t="shared" si="0"/>
        <v>33600</v>
      </c>
      <c r="K13" s="61">
        <v>33600</v>
      </c>
      <c r="L13" s="127">
        <f t="shared" si="3"/>
        <v>31920</v>
      </c>
      <c r="M13" s="127">
        <f>1450*12*2</f>
        <v>34800</v>
      </c>
      <c r="N13" s="129">
        <f t="shared" si="1"/>
        <v>-1680</v>
      </c>
      <c r="O13" s="138">
        <f t="shared" si="2"/>
        <v>2880</v>
      </c>
      <c r="Q13" s="17"/>
      <c r="R13" s="17"/>
      <c r="S13" s="17"/>
      <c r="T13" s="17"/>
      <c r="U13" s="17"/>
      <c r="V13" s="1"/>
      <c r="W13" s="1"/>
      <c r="X13" s="1"/>
      <c r="Y13" s="1"/>
      <c r="Z13" s="1" t="s">
        <v>7</v>
      </c>
      <c r="AA13" s="1"/>
      <c r="AB13" s="1"/>
      <c r="AC13" s="40">
        <f>ROUND(SUM(AC8:AC12),5)</f>
        <v>637121.43000000005</v>
      </c>
      <c r="AD13" s="89">
        <f>ROUND(SUM(AD8:AD12),5)</f>
        <v>852800</v>
      </c>
      <c r="AE13" s="20"/>
      <c r="AG13" s="1"/>
      <c r="AH13" s="1"/>
      <c r="AI13" s="1"/>
      <c r="AJ13" s="1"/>
      <c r="AK13" s="1"/>
      <c r="AL13" s="1" t="s">
        <v>7</v>
      </c>
      <c r="AM13" s="1"/>
      <c r="AN13" s="1"/>
      <c r="AO13" s="89">
        <f>ROUND(SUM(AO8:AO12),5)</f>
        <v>602379.09</v>
      </c>
      <c r="AP13" s="40">
        <f>ROUND(SUM(AP8:AP12),5)</f>
        <v>639594</v>
      </c>
      <c r="AQ13" s="16"/>
      <c r="AS13" s="1"/>
      <c r="AT13" s="1"/>
      <c r="AU13" s="1"/>
      <c r="AV13" s="1"/>
      <c r="AW13" s="1"/>
      <c r="AX13" s="1" t="s">
        <v>7</v>
      </c>
      <c r="AY13" s="1"/>
      <c r="AZ13" s="1"/>
      <c r="BA13" s="89">
        <f>ROUND(SUM(BA8:BA12),5)</f>
        <v>290079.02</v>
      </c>
      <c r="BB13" s="40">
        <f>ROUND(SUM(BB8:BB12),5)</f>
        <v>213300</v>
      </c>
    </row>
    <row r="14" spans="1:54" s="11" customFormat="1" ht="14.85" customHeight="1" thickBot="1" x14ac:dyDescent="0.3">
      <c r="A14" s="37"/>
      <c r="B14" s="13"/>
      <c r="C14" s="13"/>
      <c r="D14" s="13"/>
      <c r="E14" s="13" t="s">
        <v>7</v>
      </c>
      <c r="F14" s="13"/>
      <c r="G14" s="13"/>
      <c r="H14" s="72">
        <f>ROUND(SUM(H8:H13),5)</f>
        <v>602379.09</v>
      </c>
      <c r="I14" s="72">
        <f t="shared" ref="I14:O14" si="4">ROUND(SUM(I8:I13),5)</f>
        <v>171160.11</v>
      </c>
      <c r="J14" s="72">
        <f t="shared" si="4"/>
        <v>773539.2</v>
      </c>
      <c r="K14" s="72">
        <f t="shared" si="4"/>
        <v>852800</v>
      </c>
      <c r="L14" s="76">
        <f t="shared" si="4"/>
        <v>843844.15</v>
      </c>
      <c r="M14" s="76">
        <f t="shared" si="4"/>
        <v>827378</v>
      </c>
      <c r="N14" s="136">
        <f t="shared" si="4"/>
        <v>70304.95</v>
      </c>
      <c r="O14" s="136">
        <f t="shared" si="4"/>
        <v>-16466.150000000001</v>
      </c>
      <c r="Q14" s="17"/>
      <c r="R14" s="17"/>
      <c r="S14" s="17"/>
      <c r="T14" s="17"/>
      <c r="U14" s="17"/>
      <c r="V14" s="1"/>
      <c r="W14" s="1"/>
      <c r="X14" s="1"/>
      <c r="Y14" s="1" t="s">
        <v>8</v>
      </c>
      <c r="Z14" s="1"/>
      <c r="AA14" s="1"/>
      <c r="AB14" s="1"/>
      <c r="AC14" s="41">
        <f>ROUND(AC7+AC13,5)</f>
        <v>637121.43000000005</v>
      </c>
      <c r="AD14" s="90">
        <f>ROUND(AD7+AD13,5)</f>
        <v>852800</v>
      </c>
      <c r="AE14" s="21"/>
      <c r="AG14" s="1"/>
      <c r="AH14" s="1"/>
      <c r="AI14" s="1"/>
      <c r="AJ14" s="1"/>
      <c r="AK14" s="1" t="s">
        <v>8</v>
      </c>
      <c r="AL14" s="1"/>
      <c r="AM14" s="1"/>
      <c r="AN14" s="1"/>
      <c r="AO14" s="90">
        <f>ROUND(AO7+AO13,5)</f>
        <v>602379.09</v>
      </c>
      <c r="AP14" s="41">
        <f>ROUND(AP7+AP13,5)</f>
        <v>639594</v>
      </c>
      <c r="AQ14" s="18"/>
      <c r="AS14" s="1"/>
      <c r="AT14" s="1"/>
      <c r="AU14" s="1"/>
      <c r="AV14" s="1"/>
      <c r="AW14" s="1" t="s">
        <v>8</v>
      </c>
      <c r="AX14" s="1"/>
      <c r="AY14" s="1"/>
      <c r="AZ14" s="1"/>
      <c r="BA14" s="90">
        <f>ROUND(BA7+BA13,5)</f>
        <v>290079.02</v>
      </c>
      <c r="BB14" s="41">
        <f>ROUND(BB7+BB13,5)</f>
        <v>213300</v>
      </c>
    </row>
    <row r="15" spans="1:54" s="11" customFormat="1" ht="14.85" customHeight="1" thickBot="1" x14ac:dyDescent="0.3">
      <c r="A15" s="37"/>
      <c r="B15" s="14"/>
      <c r="C15" s="14"/>
      <c r="D15" s="14" t="s">
        <v>8</v>
      </c>
      <c r="E15" s="14"/>
      <c r="F15" s="14"/>
      <c r="G15" s="14"/>
      <c r="H15" s="73">
        <f>ROUND(H14,5)</f>
        <v>602379.09</v>
      </c>
      <c r="I15" s="73">
        <f>ROUND(I14,5)</f>
        <v>171160.11</v>
      </c>
      <c r="J15" s="73">
        <f>ROUND(J14,5)</f>
        <v>773539.2</v>
      </c>
      <c r="K15" s="73">
        <f>ROUND(K14,5)</f>
        <v>852800</v>
      </c>
      <c r="L15" s="73">
        <f t="shared" ref="L15:O15" si="5">ROUND(L14,5)</f>
        <v>843844.15</v>
      </c>
      <c r="M15" s="73">
        <f t="shared" si="5"/>
        <v>827378</v>
      </c>
      <c r="N15" s="137">
        <f t="shared" si="5"/>
        <v>70304.95</v>
      </c>
      <c r="O15" s="139">
        <f t="shared" si="5"/>
        <v>-16466.150000000001</v>
      </c>
      <c r="Q15" s="17"/>
      <c r="R15" s="17"/>
      <c r="S15" s="17"/>
      <c r="T15" s="17"/>
      <c r="U15" s="17"/>
      <c r="V15" s="1"/>
      <c r="W15" s="1"/>
      <c r="X15" s="1" t="s">
        <v>121</v>
      </c>
      <c r="Y15" s="1"/>
      <c r="Z15" s="1"/>
      <c r="AA15" s="1"/>
      <c r="AB15" s="1"/>
      <c r="AC15" s="20">
        <f>AC14</f>
        <v>637121.43000000005</v>
      </c>
      <c r="AD15" s="88">
        <f>AD14</f>
        <v>852800</v>
      </c>
      <c r="AE15" s="21"/>
      <c r="AG15" s="1"/>
      <c r="AH15" s="1"/>
      <c r="AI15" s="1"/>
      <c r="AJ15" s="1" t="s">
        <v>121</v>
      </c>
      <c r="AK15" s="1"/>
      <c r="AL15" s="1"/>
      <c r="AM15" s="1"/>
      <c r="AN15" s="1"/>
      <c r="AO15" s="88">
        <f>AO14</f>
        <v>602379.09</v>
      </c>
      <c r="AP15" s="20">
        <f>AP14</f>
        <v>639594</v>
      </c>
      <c r="AQ15" s="18"/>
      <c r="AS15" s="1"/>
      <c r="AT15" s="1"/>
      <c r="AU15" s="1"/>
      <c r="AV15" s="1" t="s">
        <v>121</v>
      </c>
      <c r="AW15" s="1"/>
      <c r="AX15" s="1"/>
      <c r="AY15" s="1"/>
      <c r="AZ15" s="1"/>
      <c r="BA15" s="88">
        <f>BA14</f>
        <v>290079.02</v>
      </c>
      <c r="BB15" s="20">
        <f>BB14</f>
        <v>213300</v>
      </c>
    </row>
    <row r="16" spans="1:54" ht="17.25" customHeight="1" x14ac:dyDescent="0.25">
      <c r="A16" s="37"/>
      <c r="B16" s="1"/>
      <c r="C16" s="1"/>
      <c r="D16" s="1" t="s">
        <v>9</v>
      </c>
      <c r="E16" s="1"/>
      <c r="F16" s="1"/>
      <c r="G16" s="1"/>
      <c r="H16" s="60"/>
      <c r="I16" s="60"/>
      <c r="J16" s="60"/>
      <c r="K16" s="60"/>
      <c r="L16" s="60"/>
      <c r="M16" s="60"/>
      <c r="N16" s="95"/>
      <c r="O16" s="140"/>
      <c r="Q16" s="17"/>
      <c r="R16" s="17"/>
      <c r="S16" s="17"/>
      <c r="T16" s="17"/>
      <c r="U16" s="17"/>
      <c r="V16" s="1"/>
      <c r="W16" s="1"/>
      <c r="X16" s="1"/>
      <c r="Y16" s="1" t="s">
        <v>9</v>
      </c>
      <c r="Z16" s="1"/>
      <c r="AA16" s="1"/>
      <c r="AB16" s="1"/>
      <c r="AC16" s="20"/>
      <c r="AD16" s="88"/>
      <c r="AE16" s="20"/>
      <c r="AG16" s="1"/>
      <c r="AH16" s="1"/>
      <c r="AI16" s="1"/>
      <c r="AJ16" s="1"/>
      <c r="AK16" s="1" t="s">
        <v>9</v>
      </c>
      <c r="AL16" s="1"/>
      <c r="AM16" s="1"/>
      <c r="AN16" s="1"/>
      <c r="AO16" s="88"/>
      <c r="AP16" s="20"/>
      <c r="AQ16" s="16"/>
      <c r="AS16" s="1"/>
      <c r="AT16" s="1"/>
      <c r="AU16" s="1"/>
      <c r="AV16" s="1"/>
      <c r="AW16" s="1" t="s">
        <v>9</v>
      </c>
      <c r="AX16" s="1"/>
      <c r="AY16" s="1"/>
      <c r="AZ16" s="1"/>
      <c r="BA16" s="88"/>
      <c r="BB16" s="20"/>
    </row>
    <row r="17" spans="1:54" ht="14.85" customHeight="1" x14ac:dyDescent="0.25">
      <c r="A17" s="37"/>
      <c r="B17" s="1"/>
      <c r="C17" s="1"/>
      <c r="D17" s="1"/>
      <c r="E17" s="1" t="s">
        <v>10</v>
      </c>
      <c r="F17" s="1"/>
      <c r="G17" s="1"/>
      <c r="H17" s="60"/>
      <c r="I17" s="60"/>
      <c r="J17" s="60"/>
      <c r="K17" s="60"/>
      <c r="L17" s="60"/>
      <c r="M17" s="60"/>
      <c r="N17" s="95"/>
      <c r="O17" s="140"/>
      <c r="Q17" s="17"/>
      <c r="R17" s="17"/>
      <c r="S17" s="17"/>
      <c r="T17" s="17"/>
      <c r="U17" s="17"/>
      <c r="V17" s="1"/>
      <c r="W17" s="1"/>
      <c r="X17" s="1"/>
      <c r="Y17" s="1"/>
      <c r="Z17" s="1" t="s">
        <v>10</v>
      </c>
      <c r="AA17" s="1"/>
      <c r="AB17" s="1"/>
      <c r="AC17" s="20"/>
      <c r="AD17" s="88"/>
      <c r="AE17" s="20"/>
      <c r="AG17" s="1"/>
      <c r="AH17" s="1"/>
      <c r="AI17" s="1"/>
      <c r="AJ17" s="1"/>
      <c r="AK17" s="1"/>
      <c r="AL17" s="1" t="s">
        <v>10</v>
      </c>
      <c r="AM17" s="1"/>
      <c r="AN17" s="1"/>
      <c r="AO17" s="88"/>
      <c r="AP17" s="20"/>
      <c r="AQ17" s="16"/>
      <c r="AS17" s="1"/>
      <c r="AT17" s="1"/>
      <c r="AU17" s="1"/>
      <c r="AV17" s="1"/>
      <c r="AW17" s="1"/>
      <c r="AX17" s="1" t="s">
        <v>10</v>
      </c>
      <c r="AY17" s="1"/>
      <c r="AZ17" s="1"/>
      <c r="BA17" s="88"/>
      <c r="BB17" s="20"/>
    </row>
    <row r="18" spans="1:54" ht="14.85" customHeight="1" x14ac:dyDescent="0.25">
      <c r="A18" s="37"/>
      <c r="B18" s="1"/>
      <c r="C18" s="1"/>
      <c r="D18" s="1"/>
      <c r="E18" s="1"/>
      <c r="F18" s="1" t="s">
        <v>11</v>
      </c>
      <c r="G18" s="1"/>
      <c r="H18" s="60"/>
      <c r="I18" s="74"/>
      <c r="J18" s="74"/>
      <c r="K18" s="60"/>
      <c r="L18" s="60"/>
      <c r="M18" s="60"/>
      <c r="N18" s="95"/>
      <c r="O18" s="140"/>
      <c r="Q18" s="17"/>
      <c r="R18" s="17"/>
      <c r="S18" s="17"/>
      <c r="T18" s="17"/>
      <c r="U18" s="17"/>
      <c r="V18" s="1"/>
      <c r="W18" s="1"/>
      <c r="X18" s="1"/>
      <c r="Y18" s="1"/>
      <c r="Z18" s="1"/>
      <c r="AA18" s="1" t="s">
        <v>11</v>
      </c>
      <c r="AB18" s="1"/>
      <c r="AC18" s="20"/>
      <c r="AD18" s="88"/>
      <c r="AE18" s="20"/>
      <c r="AG18" s="1"/>
      <c r="AH18" s="1"/>
      <c r="AI18" s="1"/>
      <c r="AJ18" s="1"/>
      <c r="AK18" s="1"/>
      <c r="AL18" s="1"/>
      <c r="AM18" s="1" t="s">
        <v>11</v>
      </c>
      <c r="AN18" s="1"/>
      <c r="AO18" s="88"/>
      <c r="AP18" s="20"/>
      <c r="AQ18" s="16"/>
      <c r="AS18" s="1"/>
      <c r="AT18" s="1"/>
      <c r="AU18" s="1"/>
      <c r="AV18" s="1"/>
      <c r="AW18" s="1"/>
      <c r="AX18" s="1"/>
      <c r="AY18" s="1" t="s">
        <v>11</v>
      </c>
      <c r="AZ18" s="1"/>
      <c r="BA18" s="88"/>
      <c r="BB18" s="20"/>
    </row>
    <row r="19" spans="1:54" ht="14.85" customHeight="1" x14ac:dyDescent="0.25">
      <c r="A19" s="37"/>
      <c r="B19" s="1"/>
      <c r="C19" s="1"/>
      <c r="D19" s="1"/>
      <c r="E19" s="1"/>
      <c r="F19" s="1"/>
      <c r="G19" s="1" t="s">
        <v>12</v>
      </c>
      <c r="H19" s="69">
        <v>9068.19</v>
      </c>
      <c r="I19" s="121">
        <v>1865.45</v>
      </c>
      <c r="J19" s="119">
        <f t="shared" ref="J19:J34" si="6">SUM(H19:I19)</f>
        <v>10933.640000000001</v>
      </c>
      <c r="K19" s="61">
        <v>12000</v>
      </c>
      <c r="L19" s="128">
        <f t="shared" ref="L19:L34" si="7">K19-(K19*0.05)</f>
        <v>11400</v>
      </c>
      <c r="M19" s="128">
        <f>11400*1.1</f>
        <v>12540.000000000002</v>
      </c>
      <c r="N19" s="129">
        <f t="shared" ref="N19:N34" si="8">L19-J19</f>
        <v>466.35999999999876</v>
      </c>
      <c r="O19" s="138">
        <f t="shared" ref="O19:O34" si="9">M19-L19</f>
        <v>1140.0000000000018</v>
      </c>
      <c r="Q19" s="17"/>
      <c r="R19" s="154"/>
      <c r="S19" s="17"/>
      <c r="T19" s="17"/>
      <c r="U19" s="17"/>
      <c r="V19" s="1"/>
      <c r="W19" s="1"/>
      <c r="X19" s="1"/>
      <c r="Y19" s="1"/>
      <c r="Z19" s="1"/>
      <c r="AA19" s="1"/>
      <c r="AB19" s="1" t="s">
        <v>12</v>
      </c>
      <c r="AC19" s="20">
        <v>9068.19</v>
      </c>
      <c r="AD19" s="88">
        <v>12000</v>
      </c>
      <c r="AE19" s="20"/>
      <c r="AG19" s="1"/>
      <c r="AH19" s="1"/>
      <c r="AI19" s="1"/>
      <c r="AJ19" s="1"/>
      <c r="AK19" s="1"/>
      <c r="AL19" s="1"/>
      <c r="AM19" s="1"/>
      <c r="AN19" s="1" t="s">
        <v>12</v>
      </c>
      <c r="AO19" s="88">
        <v>9068.19</v>
      </c>
      <c r="AP19" s="20">
        <v>9000</v>
      </c>
      <c r="AQ19" s="16"/>
      <c r="AS19" s="1"/>
      <c r="AT19" s="1"/>
      <c r="AU19" s="1"/>
      <c r="AV19" s="1"/>
      <c r="AW19" s="1"/>
      <c r="AX19" s="1"/>
      <c r="AY19" s="1"/>
      <c r="AZ19" s="1" t="s">
        <v>12</v>
      </c>
      <c r="BA19" s="88">
        <v>1865.45</v>
      </c>
      <c r="BB19" s="20">
        <v>3267</v>
      </c>
    </row>
    <row r="20" spans="1:54" ht="14.85" customHeight="1" x14ac:dyDescent="0.25">
      <c r="A20" s="37"/>
      <c r="B20" s="1"/>
      <c r="C20" s="1"/>
      <c r="D20" s="1"/>
      <c r="E20" s="1"/>
      <c r="F20" s="1"/>
      <c r="G20" s="1" t="s">
        <v>13</v>
      </c>
      <c r="H20" s="69">
        <v>4211.51</v>
      </c>
      <c r="I20" s="121">
        <v>1017.94</v>
      </c>
      <c r="J20" s="119">
        <f t="shared" si="6"/>
        <v>5229.4500000000007</v>
      </c>
      <c r="K20" s="61">
        <v>5000</v>
      </c>
      <c r="L20" s="128">
        <f t="shared" si="7"/>
        <v>4750</v>
      </c>
      <c r="M20" s="128">
        <f>5500*1.1</f>
        <v>6050.0000000000009</v>
      </c>
      <c r="N20" s="129">
        <f t="shared" si="8"/>
        <v>-479.45000000000073</v>
      </c>
      <c r="O20" s="138">
        <f t="shared" si="9"/>
        <v>1300.0000000000009</v>
      </c>
      <c r="Q20" s="17"/>
      <c r="R20" s="154"/>
      <c r="S20" s="17"/>
      <c r="T20" s="17"/>
      <c r="U20" s="17"/>
      <c r="V20" s="1"/>
      <c r="W20" s="1"/>
      <c r="X20" s="1"/>
      <c r="Y20" s="1"/>
      <c r="Z20" s="1"/>
      <c r="AA20" s="1"/>
      <c r="AB20" s="1" t="s">
        <v>13</v>
      </c>
      <c r="AC20" s="20">
        <v>4211.51</v>
      </c>
      <c r="AD20" s="88">
        <v>5000</v>
      </c>
      <c r="AE20" s="20"/>
      <c r="AG20" s="1"/>
      <c r="AH20" s="1"/>
      <c r="AI20" s="1"/>
      <c r="AJ20" s="1"/>
      <c r="AK20" s="1"/>
      <c r="AL20" s="1"/>
      <c r="AM20" s="1"/>
      <c r="AN20" s="1" t="s">
        <v>13</v>
      </c>
      <c r="AO20" s="88">
        <v>4211.51</v>
      </c>
      <c r="AP20" s="20">
        <v>3753</v>
      </c>
      <c r="AQ20" s="16"/>
      <c r="AS20" s="1"/>
      <c r="AT20" s="1"/>
      <c r="AU20" s="1"/>
      <c r="AV20" s="1"/>
      <c r="AW20" s="1"/>
      <c r="AX20" s="1"/>
      <c r="AY20" s="1"/>
      <c r="AZ20" s="1" t="s">
        <v>13</v>
      </c>
      <c r="BA20" s="88">
        <v>1017.94</v>
      </c>
      <c r="BB20" s="20">
        <v>1350</v>
      </c>
    </row>
    <row r="21" spans="1:54" ht="14.85" customHeight="1" x14ac:dyDescent="0.25">
      <c r="A21" s="37"/>
      <c r="B21" s="1"/>
      <c r="C21" s="1"/>
      <c r="D21" s="1"/>
      <c r="E21" s="1"/>
      <c r="F21" s="1"/>
      <c r="G21" s="1" t="s">
        <v>111</v>
      </c>
      <c r="H21" s="69">
        <v>2426.7800000000002</v>
      </c>
      <c r="I21" s="121">
        <v>766.49</v>
      </c>
      <c r="J21" s="119">
        <f t="shared" si="6"/>
        <v>3193.2700000000004</v>
      </c>
      <c r="K21" s="61">
        <v>2600</v>
      </c>
      <c r="L21" s="128">
        <f t="shared" si="7"/>
        <v>2470</v>
      </c>
      <c r="M21" s="128">
        <v>2700</v>
      </c>
      <c r="N21" s="129">
        <f t="shared" si="8"/>
        <v>-723.27000000000044</v>
      </c>
      <c r="O21" s="138">
        <f t="shared" si="9"/>
        <v>230</v>
      </c>
      <c r="Q21" s="17"/>
      <c r="R21" s="154"/>
      <c r="S21" s="17"/>
      <c r="T21" s="17"/>
      <c r="U21" s="17"/>
      <c r="V21" s="1"/>
      <c r="W21" s="1"/>
      <c r="X21" s="1"/>
      <c r="Y21" s="1"/>
      <c r="Z21" s="1"/>
      <c r="AA21" s="1"/>
      <c r="AB21" s="1" t="s">
        <v>122</v>
      </c>
      <c r="AC21" s="20">
        <v>2426.7800000000002</v>
      </c>
      <c r="AD21" s="88">
        <v>2600</v>
      </c>
      <c r="AE21" s="20"/>
      <c r="AG21" s="1"/>
      <c r="AH21" s="1"/>
      <c r="AI21" s="1"/>
      <c r="AJ21" s="1"/>
      <c r="AK21" s="1"/>
      <c r="AL21" s="1"/>
      <c r="AM21" s="1"/>
      <c r="AN21" s="1" t="s">
        <v>122</v>
      </c>
      <c r="AO21" s="88">
        <v>2426.7800000000002</v>
      </c>
      <c r="AP21" s="20">
        <v>1953</v>
      </c>
      <c r="AQ21" s="16"/>
      <c r="AS21" s="1"/>
      <c r="AT21" s="1"/>
      <c r="AU21" s="1"/>
      <c r="AV21" s="1"/>
      <c r="AW21" s="1"/>
      <c r="AX21" s="1"/>
      <c r="AY21" s="1"/>
      <c r="AZ21" s="1" t="s">
        <v>122</v>
      </c>
      <c r="BA21" s="88">
        <v>766.49</v>
      </c>
      <c r="BB21" s="20">
        <v>628</v>
      </c>
    </row>
    <row r="22" spans="1:54" ht="14.85" customHeight="1" x14ac:dyDescent="0.25">
      <c r="A22" s="37"/>
      <c r="B22" s="1"/>
      <c r="C22" s="1"/>
      <c r="D22" s="1"/>
      <c r="E22" s="1"/>
      <c r="F22" s="1"/>
      <c r="G22" s="1" t="s">
        <v>14</v>
      </c>
      <c r="H22" s="69">
        <v>550.52</v>
      </c>
      <c r="I22" s="121">
        <v>142.11000000000001</v>
      </c>
      <c r="J22" s="119">
        <f t="shared" si="6"/>
        <v>692.63</v>
      </c>
      <c r="K22" s="61">
        <v>1000</v>
      </c>
      <c r="L22" s="128">
        <f t="shared" si="7"/>
        <v>950</v>
      </c>
      <c r="M22" s="128">
        <f>900*1.1</f>
        <v>990.00000000000011</v>
      </c>
      <c r="N22" s="129">
        <f t="shared" si="8"/>
        <v>257.37</v>
      </c>
      <c r="O22" s="138">
        <f t="shared" si="9"/>
        <v>40.000000000000114</v>
      </c>
      <c r="Q22" s="17"/>
      <c r="R22" s="154"/>
      <c r="S22" s="17"/>
      <c r="T22" s="17"/>
      <c r="U22" s="17"/>
      <c r="V22" s="1"/>
      <c r="W22" s="1"/>
      <c r="X22" s="1"/>
      <c r="Y22" s="1"/>
      <c r="Z22" s="1"/>
      <c r="AA22" s="1"/>
      <c r="AB22" s="1" t="s">
        <v>14</v>
      </c>
      <c r="AC22" s="20">
        <v>620.94000000000005</v>
      </c>
      <c r="AD22" s="88">
        <v>1000</v>
      </c>
      <c r="AE22" s="20"/>
      <c r="AG22" s="1"/>
      <c r="AH22" s="1"/>
      <c r="AI22" s="1"/>
      <c r="AJ22" s="1"/>
      <c r="AK22" s="1"/>
      <c r="AL22" s="1"/>
      <c r="AM22" s="1"/>
      <c r="AN22" s="1" t="s">
        <v>14</v>
      </c>
      <c r="AO22" s="88">
        <v>550.52</v>
      </c>
      <c r="AP22" s="20">
        <v>747</v>
      </c>
      <c r="AQ22" s="16"/>
      <c r="AS22" s="1"/>
      <c r="AT22" s="1"/>
      <c r="AU22" s="1"/>
      <c r="AV22" s="1"/>
      <c r="AW22" s="1"/>
      <c r="AX22" s="1"/>
      <c r="AY22" s="1"/>
      <c r="AZ22" s="1" t="s">
        <v>14</v>
      </c>
      <c r="BA22" s="88">
        <v>142.11000000000001</v>
      </c>
      <c r="BB22" s="20">
        <v>300</v>
      </c>
    </row>
    <row r="23" spans="1:54" ht="14.85" customHeight="1" x14ac:dyDescent="0.25">
      <c r="A23" s="37"/>
      <c r="B23" s="1"/>
      <c r="C23" s="1"/>
      <c r="D23" s="1"/>
      <c r="E23" s="1"/>
      <c r="F23" s="1"/>
      <c r="G23" s="1" t="s">
        <v>15</v>
      </c>
      <c r="H23" s="69">
        <v>549.99</v>
      </c>
      <c r="I23" s="121">
        <v>171.87</v>
      </c>
      <c r="J23" s="119">
        <f t="shared" si="6"/>
        <v>721.86</v>
      </c>
      <c r="K23" s="61">
        <v>2000</v>
      </c>
      <c r="L23" s="128">
        <f t="shared" si="7"/>
        <v>1900</v>
      </c>
      <c r="M23" s="128">
        <v>1000</v>
      </c>
      <c r="N23" s="129">
        <f t="shared" si="8"/>
        <v>1178.1399999999999</v>
      </c>
      <c r="O23" s="138">
        <f t="shared" si="9"/>
        <v>-900</v>
      </c>
      <c r="Q23" s="17"/>
      <c r="R23" s="154"/>
      <c r="S23" s="17"/>
      <c r="T23" s="17"/>
      <c r="U23" s="17"/>
      <c r="V23" s="1"/>
      <c r="W23" s="1"/>
      <c r="X23" s="1"/>
      <c r="Y23" s="1"/>
      <c r="Z23" s="1"/>
      <c r="AA23" s="1"/>
      <c r="AB23" s="1" t="s">
        <v>15</v>
      </c>
      <c r="AC23" s="20">
        <v>624.47</v>
      </c>
      <c r="AD23" s="88">
        <v>2000</v>
      </c>
      <c r="AE23" s="20"/>
      <c r="AG23" s="1"/>
      <c r="AH23" s="1"/>
      <c r="AI23" s="1"/>
      <c r="AJ23" s="1"/>
      <c r="AK23" s="1"/>
      <c r="AL23" s="1"/>
      <c r="AM23" s="1"/>
      <c r="AN23" s="1" t="s">
        <v>15</v>
      </c>
      <c r="AO23" s="88">
        <v>549.99</v>
      </c>
      <c r="AP23" s="20">
        <v>1503</v>
      </c>
      <c r="AQ23" s="16"/>
      <c r="AS23" s="1"/>
      <c r="AT23" s="1"/>
      <c r="AU23" s="1"/>
      <c r="AV23" s="1"/>
      <c r="AW23" s="1"/>
      <c r="AX23" s="1"/>
      <c r="AY23" s="1"/>
      <c r="AZ23" s="1" t="s">
        <v>15</v>
      </c>
      <c r="BA23" s="88">
        <v>171.87</v>
      </c>
      <c r="BB23" s="20">
        <v>629</v>
      </c>
    </row>
    <row r="24" spans="1:54" ht="14.85" customHeight="1" x14ac:dyDescent="0.25">
      <c r="A24" s="37"/>
      <c r="B24" s="1"/>
      <c r="C24" s="1"/>
      <c r="D24" s="1"/>
      <c r="E24" s="1"/>
      <c r="F24" s="1"/>
      <c r="G24" s="1" t="s">
        <v>16</v>
      </c>
      <c r="H24" s="69">
        <v>705.06</v>
      </c>
      <c r="I24" s="121">
        <v>207.98</v>
      </c>
      <c r="J24" s="119">
        <f t="shared" si="6"/>
        <v>913.04</v>
      </c>
      <c r="K24" s="61">
        <v>1000</v>
      </c>
      <c r="L24" s="128">
        <f t="shared" si="7"/>
        <v>950</v>
      </c>
      <c r="M24" s="128">
        <f>1000*1.1</f>
        <v>1100</v>
      </c>
      <c r="N24" s="129">
        <f t="shared" si="8"/>
        <v>36.960000000000036</v>
      </c>
      <c r="O24" s="138">
        <f t="shared" si="9"/>
        <v>150</v>
      </c>
      <c r="Q24" s="17"/>
      <c r="R24" s="154"/>
      <c r="S24" s="17"/>
      <c r="T24" s="17"/>
      <c r="U24" s="17"/>
      <c r="V24" s="1"/>
      <c r="W24" s="1"/>
      <c r="X24" s="1"/>
      <c r="Y24" s="1"/>
      <c r="Z24" s="1"/>
      <c r="AA24" s="1"/>
      <c r="AB24" s="1" t="s">
        <v>16</v>
      </c>
      <c r="AC24" s="20">
        <v>705.06</v>
      </c>
      <c r="AD24" s="88">
        <v>1000</v>
      </c>
      <c r="AE24" s="20"/>
      <c r="AG24" s="1"/>
      <c r="AH24" s="1"/>
      <c r="AI24" s="1"/>
      <c r="AJ24" s="1"/>
      <c r="AK24" s="1"/>
      <c r="AL24" s="1"/>
      <c r="AM24" s="1"/>
      <c r="AN24" s="1" t="s">
        <v>16</v>
      </c>
      <c r="AO24" s="88">
        <v>705.06</v>
      </c>
      <c r="AP24" s="20">
        <v>747</v>
      </c>
      <c r="AQ24" s="16"/>
      <c r="AS24" s="1"/>
      <c r="AT24" s="1"/>
      <c r="AU24" s="1"/>
      <c r="AV24" s="1"/>
      <c r="AW24" s="1"/>
      <c r="AX24" s="1"/>
      <c r="AY24" s="1"/>
      <c r="AZ24" s="1" t="s">
        <v>16</v>
      </c>
      <c r="BA24" s="88">
        <v>207.98</v>
      </c>
      <c r="BB24" s="20">
        <v>375</v>
      </c>
    </row>
    <row r="25" spans="1:54" ht="14.85" customHeight="1" x14ac:dyDescent="0.25">
      <c r="A25" s="37"/>
      <c r="B25" s="1"/>
      <c r="C25" s="1"/>
      <c r="D25" s="1"/>
      <c r="E25" s="1"/>
      <c r="F25" s="1"/>
      <c r="G25" s="1" t="s">
        <v>17</v>
      </c>
      <c r="H25" s="69">
        <v>699.38</v>
      </c>
      <c r="I25" s="121">
        <v>123.1</v>
      </c>
      <c r="J25" s="119">
        <f t="shared" si="6"/>
        <v>822.48</v>
      </c>
      <c r="K25" s="61">
        <v>750</v>
      </c>
      <c r="L25" s="128">
        <f t="shared" si="7"/>
        <v>712.5</v>
      </c>
      <c r="M25" s="128">
        <v>800</v>
      </c>
      <c r="N25" s="129">
        <f t="shared" si="8"/>
        <v>-109.98000000000002</v>
      </c>
      <c r="O25" s="138">
        <f t="shared" si="9"/>
        <v>87.5</v>
      </c>
      <c r="Q25" s="17"/>
      <c r="R25" s="154"/>
      <c r="S25" s="17"/>
      <c r="T25" s="17"/>
      <c r="U25" s="17"/>
      <c r="V25" s="1"/>
      <c r="W25" s="1"/>
      <c r="X25" s="1"/>
      <c r="Y25" s="1"/>
      <c r="Z25" s="1"/>
      <c r="AA25" s="1"/>
      <c r="AB25" s="1" t="s">
        <v>17</v>
      </c>
      <c r="AC25" s="20">
        <v>699.38</v>
      </c>
      <c r="AD25" s="88">
        <v>750</v>
      </c>
      <c r="AE25" s="20"/>
      <c r="AG25" s="1"/>
      <c r="AH25" s="1"/>
      <c r="AI25" s="1"/>
      <c r="AJ25" s="1"/>
      <c r="AK25" s="1"/>
      <c r="AL25" s="1"/>
      <c r="AM25" s="1"/>
      <c r="AN25" s="1" t="s">
        <v>17</v>
      </c>
      <c r="AO25" s="88">
        <v>699.38</v>
      </c>
      <c r="AP25" s="20">
        <v>558</v>
      </c>
      <c r="AQ25" s="16"/>
      <c r="AS25" s="1"/>
      <c r="AT25" s="1"/>
      <c r="AU25" s="1"/>
      <c r="AV25" s="1"/>
      <c r="AW25" s="1"/>
      <c r="AX25" s="1"/>
      <c r="AY25" s="1"/>
      <c r="AZ25" s="1" t="s">
        <v>17</v>
      </c>
      <c r="BA25" s="88">
        <v>123.1</v>
      </c>
      <c r="BB25" s="20">
        <v>253</v>
      </c>
    </row>
    <row r="26" spans="1:54" ht="14.85" customHeight="1" x14ac:dyDescent="0.25">
      <c r="A26" s="37"/>
      <c r="B26" s="1"/>
      <c r="C26" s="1"/>
      <c r="D26" s="1"/>
      <c r="E26" s="1"/>
      <c r="F26" s="1"/>
      <c r="G26" s="1" t="s">
        <v>18</v>
      </c>
      <c r="H26" s="69">
        <v>9797.24</v>
      </c>
      <c r="I26" s="121">
        <v>2839.83</v>
      </c>
      <c r="J26" s="119">
        <f t="shared" si="6"/>
        <v>12637.07</v>
      </c>
      <c r="K26" s="61">
        <v>15000</v>
      </c>
      <c r="L26" s="128">
        <f t="shared" si="7"/>
        <v>14250</v>
      </c>
      <c r="M26" s="128">
        <v>14000</v>
      </c>
      <c r="N26" s="129">
        <f t="shared" si="8"/>
        <v>1612.9300000000003</v>
      </c>
      <c r="O26" s="138">
        <f t="shared" si="9"/>
        <v>-250</v>
      </c>
      <c r="Q26" s="17"/>
      <c r="R26" s="154"/>
      <c r="S26" s="17"/>
      <c r="T26" s="17"/>
      <c r="U26" s="17"/>
      <c r="V26" s="1"/>
      <c r="W26" s="1"/>
      <c r="X26" s="1"/>
      <c r="Y26" s="1"/>
      <c r="Z26" s="1"/>
      <c r="AA26" s="1"/>
      <c r="AB26" s="1" t="s">
        <v>18</v>
      </c>
      <c r="AC26" s="20">
        <v>9977.24</v>
      </c>
      <c r="AD26" s="88">
        <v>15000</v>
      </c>
      <c r="AE26" s="20"/>
      <c r="AG26" s="1"/>
      <c r="AH26" s="1"/>
      <c r="AI26" s="1"/>
      <c r="AJ26" s="1"/>
      <c r="AK26" s="1"/>
      <c r="AL26" s="1"/>
      <c r="AM26" s="1"/>
      <c r="AN26" s="1" t="s">
        <v>18</v>
      </c>
      <c r="AO26" s="88">
        <v>9797.24</v>
      </c>
      <c r="AP26" s="20">
        <v>11250</v>
      </c>
      <c r="AQ26" s="16"/>
      <c r="AS26" s="1"/>
      <c r="AT26" s="1"/>
      <c r="AU26" s="1"/>
      <c r="AV26" s="1"/>
      <c r="AW26" s="1"/>
      <c r="AX26" s="1"/>
      <c r="AY26" s="1"/>
      <c r="AZ26" s="1" t="s">
        <v>18</v>
      </c>
      <c r="BA26" s="88">
        <v>2839.83</v>
      </c>
      <c r="BB26" s="20">
        <v>5246</v>
      </c>
    </row>
    <row r="27" spans="1:54" ht="14.85" customHeight="1" x14ac:dyDescent="0.25">
      <c r="A27" s="37"/>
      <c r="B27" s="1"/>
      <c r="C27" s="1"/>
      <c r="D27" s="1"/>
      <c r="E27" s="1"/>
      <c r="F27" s="1"/>
      <c r="G27" s="1" t="s">
        <v>19</v>
      </c>
      <c r="H27" s="69">
        <v>0</v>
      </c>
      <c r="I27" s="121">
        <v>362.69</v>
      </c>
      <c r="J27" s="119">
        <f t="shared" si="6"/>
        <v>362.69</v>
      </c>
      <c r="K27" s="61">
        <v>1500</v>
      </c>
      <c r="L27" s="128">
        <f t="shared" si="7"/>
        <v>1425</v>
      </c>
      <c r="M27" s="128">
        <v>1000</v>
      </c>
      <c r="N27" s="129">
        <f t="shared" si="8"/>
        <v>1062.31</v>
      </c>
      <c r="O27" s="138">
        <f t="shared" si="9"/>
        <v>-425</v>
      </c>
      <c r="Q27" s="17"/>
      <c r="R27" s="154"/>
      <c r="S27" s="17"/>
      <c r="T27" s="17"/>
      <c r="U27" s="17"/>
      <c r="V27" s="1"/>
      <c r="W27" s="1"/>
      <c r="X27" s="1"/>
      <c r="Y27" s="1"/>
      <c r="Z27" s="1"/>
      <c r="AA27" s="1"/>
      <c r="AB27" s="1" t="s">
        <v>19</v>
      </c>
      <c r="AC27" s="20">
        <v>0</v>
      </c>
      <c r="AD27" s="88">
        <v>1500</v>
      </c>
      <c r="AE27" s="20"/>
      <c r="AG27" s="1"/>
      <c r="AH27" s="1"/>
      <c r="AI27" s="1"/>
      <c r="AJ27" s="1"/>
      <c r="AK27" s="1"/>
      <c r="AL27" s="1"/>
      <c r="AM27" s="1"/>
      <c r="AN27" s="1" t="s">
        <v>19</v>
      </c>
      <c r="AO27" s="88">
        <v>0</v>
      </c>
      <c r="AP27" s="20">
        <v>1125</v>
      </c>
      <c r="AQ27" s="16"/>
      <c r="AS27" s="1"/>
      <c r="AT27" s="1"/>
      <c r="AU27" s="1"/>
      <c r="AV27" s="1"/>
      <c r="AW27" s="1"/>
      <c r="AX27" s="1"/>
      <c r="AY27" s="1"/>
      <c r="AZ27" s="1" t="s">
        <v>19</v>
      </c>
      <c r="BA27" s="88">
        <v>362.69</v>
      </c>
      <c r="BB27" s="20">
        <v>192</v>
      </c>
    </row>
    <row r="28" spans="1:54" ht="14.85" customHeight="1" x14ac:dyDescent="0.25">
      <c r="A28" s="37"/>
      <c r="B28" s="1"/>
      <c r="C28" s="1"/>
      <c r="D28" s="1"/>
      <c r="E28" s="1"/>
      <c r="F28" s="1"/>
      <c r="G28" s="1" t="s">
        <v>20</v>
      </c>
      <c r="H28" s="69">
        <v>9668.5</v>
      </c>
      <c r="I28" s="121">
        <v>3078</v>
      </c>
      <c r="J28" s="119">
        <f t="shared" si="6"/>
        <v>12746.5</v>
      </c>
      <c r="K28" s="61">
        <v>13750</v>
      </c>
      <c r="L28" s="128">
        <f t="shared" si="7"/>
        <v>13062.5</v>
      </c>
      <c r="M28" s="128">
        <v>13200</v>
      </c>
      <c r="N28" s="129">
        <f t="shared" si="8"/>
        <v>316</v>
      </c>
      <c r="O28" s="138">
        <f t="shared" si="9"/>
        <v>137.5</v>
      </c>
      <c r="Q28" s="17"/>
      <c r="R28" s="154"/>
      <c r="S28" s="17"/>
      <c r="T28" s="17"/>
      <c r="U28" s="17"/>
      <c r="V28" s="1"/>
      <c r="W28" s="1"/>
      <c r="X28" s="1"/>
      <c r="Y28" s="1"/>
      <c r="Z28" s="1"/>
      <c r="AA28" s="1"/>
      <c r="AB28" s="1" t="s">
        <v>20</v>
      </c>
      <c r="AC28" s="20">
        <v>9668.5</v>
      </c>
      <c r="AD28" s="88">
        <v>13750</v>
      </c>
      <c r="AE28" s="20"/>
      <c r="AG28" s="1"/>
      <c r="AH28" s="1"/>
      <c r="AI28" s="1"/>
      <c r="AJ28" s="1"/>
      <c r="AK28" s="1"/>
      <c r="AL28" s="1"/>
      <c r="AM28" s="1"/>
      <c r="AN28" s="1" t="s">
        <v>20</v>
      </c>
      <c r="AO28" s="88">
        <v>9668.5</v>
      </c>
      <c r="AP28" s="20">
        <v>10314</v>
      </c>
      <c r="AQ28" s="16"/>
      <c r="AS28" s="1"/>
      <c r="AT28" s="1"/>
      <c r="AU28" s="1"/>
      <c r="AV28" s="1"/>
      <c r="AW28" s="1"/>
      <c r="AX28" s="1"/>
      <c r="AY28" s="1"/>
      <c r="AZ28" s="1" t="s">
        <v>20</v>
      </c>
      <c r="BA28" s="88">
        <v>3078</v>
      </c>
      <c r="BB28" s="20">
        <v>3436</v>
      </c>
    </row>
    <row r="29" spans="1:54" ht="14.85" customHeight="1" x14ac:dyDescent="0.25">
      <c r="A29" s="37"/>
      <c r="B29" s="1"/>
      <c r="C29" s="1"/>
      <c r="D29" s="1"/>
      <c r="E29" s="1"/>
      <c r="F29" s="1"/>
      <c r="G29" s="1" t="s">
        <v>117</v>
      </c>
      <c r="H29" s="69">
        <v>1141.1400000000001</v>
      </c>
      <c r="I29" s="121">
        <v>381</v>
      </c>
      <c r="J29" s="119">
        <f t="shared" si="6"/>
        <v>1522.14</v>
      </c>
      <c r="K29" s="61">
        <v>1600</v>
      </c>
      <c r="L29" s="128">
        <f t="shared" si="7"/>
        <v>1520</v>
      </c>
      <c r="M29" s="128">
        <f>1550*1.1</f>
        <v>1705.0000000000002</v>
      </c>
      <c r="N29" s="129">
        <f t="shared" si="8"/>
        <v>-2.1400000000001</v>
      </c>
      <c r="O29" s="138">
        <f t="shared" si="9"/>
        <v>185.00000000000023</v>
      </c>
      <c r="Q29" s="17"/>
      <c r="R29" s="154"/>
      <c r="S29" s="17"/>
      <c r="T29" s="17"/>
      <c r="U29" s="17"/>
      <c r="V29" s="1"/>
      <c r="W29" s="1"/>
      <c r="X29" s="1"/>
      <c r="Y29" s="1"/>
      <c r="Z29" s="1"/>
      <c r="AA29" s="1"/>
      <c r="AB29" s="1" t="s">
        <v>117</v>
      </c>
      <c r="AC29" s="20">
        <v>1267.21</v>
      </c>
      <c r="AD29" s="88">
        <v>1600</v>
      </c>
      <c r="AE29" s="20"/>
      <c r="AG29" s="1"/>
      <c r="AH29" s="1"/>
      <c r="AI29" s="1"/>
      <c r="AJ29" s="1"/>
      <c r="AK29" s="1"/>
      <c r="AL29" s="1"/>
      <c r="AM29" s="1"/>
      <c r="AN29" s="1" t="s">
        <v>117</v>
      </c>
      <c r="AO29" s="88">
        <v>1141.1400000000001</v>
      </c>
      <c r="AP29" s="20">
        <v>1197</v>
      </c>
      <c r="AQ29" s="16"/>
      <c r="AS29" s="1"/>
      <c r="AT29" s="1"/>
      <c r="AU29" s="1"/>
      <c r="AV29" s="1"/>
      <c r="AW29" s="1"/>
      <c r="AX29" s="1"/>
      <c r="AY29" s="1"/>
      <c r="AZ29" s="1" t="s">
        <v>117</v>
      </c>
      <c r="BA29" s="88">
        <v>381</v>
      </c>
      <c r="BB29" s="20">
        <v>328</v>
      </c>
    </row>
    <row r="30" spans="1:54" ht="14.85" customHeight="1" x14ac:dyDescent="0.25">
      <c r="A30" s="37"/>
      <c r="B30" s="1"/>
      <c r="C30" s="1"/>
      <c r="D30" s="1"/>
      <c r="E30" s="1"/>
      <c r="F30" s="1"/>
      <c r="G30" s="1" t="s">
        <v>21</v>
      </c>
      <c r="H30" s="69">
        <v>90.05</v>
      </c>
      <c r="I30" s="121">
        <v>267</v>
      </c>
      <c r="J30" s="119">
        <f t="shared" si="6"/>
        <v>357.05</v>
      </c>
      <c r="K30" s="61">
        <v>3000</v>
      </c>
      <c r="L30" s="128">
        <f t="shared" si="7"/>
        <v>2850</v>
      </c>
      <c r="M30" s="128">
        <v>2000</v>
      </c>
      <c r="N30" s="129">
        <f t="shared" si="8"/>
        <v>2492.9499999999998</v>
      </c>
      <c r="O30" s="138">
        <f t="shared" si="9"/>
        <v>-850</v>
      </c>
      <c r="Q30" s="17"/>
      <c r="R30" s="154"/>
      <c r="S30" s="17"/>
      <c r="T30" s="17"/>
      <c r="U30" s="17"/>
      <c r="V30" s="1"/>
      <c r="W30" s="1"/>
      <c r="X30" s="1"/>
      <c r="Y30" s="1"/>
      <c r="Z30" s="1"/>
      <c r="AA30" s="1"/>
      <c r="AB30" s="1" t="s">
        <v>21</v>
      </c>
      <c r="AC30" s="20">
        <v>90.05</v>
      </c>
      <c r="AD30" s="88">
        <v>3000</v>
      </c>
      <c r="AE30" s="20"/>
      <c r="AG30" s="1"/>
      <c r="AH30" s="1"/>
      <c r="AI30" s="1"/>
      <c r="AJ30" s="1"/>
      <c r="AK30" s="1"/>
      <c r="AL30" s="1"/>
      <c r="AM30" s="1"/>
      <c r="AN30" s="1" t="s">
        <v>21</v>
      </c>
      <c r="AO30" s="88">
        <v>90.05</v>
      </c>
      <c r="AP30" s="20">
        <v>2250</v>
      </c>
      <c r="AQ30" s="16"/>
      <c r="AS30" s="1"/>
      <c r="AT30" s="1"/>
      <c r="AU30" s="1"/>
      <c r="AV30" s="1"/>
      <c r="AW30" s="1"/>
      <c r="AX30" s="1"/>
      <c r="AY30" s="1"/>
      <c r="AZ30" s="1" t="s">
        <v>21</v>
      </c>
      <c r="BA30" s="88">
        <v>267</v>
      </c>
      <c r="BB30" s="20">
        <v>253</v>
      </c>
    </row>
    <row r="31" spans="1:54" ht="14.85" customHeight="1" x14ac:dyDescent="0.25">
      <c r="A31" s="37"/>
      <c r="B31" s="1"/>
      <c r="C31" s="1"/>
      <c r="D31" s="1"/>
      <c r="E31" s="1"/>
      <c r="F31" s="1"/>
      <c r="G31" s="1" t="s">
        <v>22</v>
      </c>
      <c r="H31" s="69">
        <v>0</v>
      </c>
      <c r="I31" s="122">
        <v>7656.13</v>
      </c>
      <c r="J31" s="119">
        <f t="shared" si="6"/>
        <v>7656.13</v>
      </c>
      <c r="K31" s="61">
        <v>9000</v>
      </c>
      <c r="L31" s="128">
        <f t="shared" si="7"/>
        <v>8550</v>
      </c>
      <c r="M31" s="128">
        <v>8250</v>
      </c>
      <c r="N31" s="129">
        <f t="shared" si="8"/>
        <v>893.86999999999989</v>
      </c>
      <c r="O31" s="138">
        <f t="shared" si="9"/>
        <v>-300</v>
      </c>
      <c r="Q31" s="17"/>
      <c r="R31" s="154"/>
      <c r="S31" s="17"/>
      <c r="T31" s="17"/>
      <c r="U31" s="17"/>
      <c r="V31" s="1"/>
      <c r="W31" s="1"/>
      <c r="X31" s="1"/>
      <c r="Y31" s="1"/>
      <c r="Z31" s="1"/>
      <c r="AA31" s="1"/>
      <c r="AB31" s="1" t="s">
        <v>22</v>
      </c>
      <c r="AC31" s="20">
        <v>0</v>
      </c>
      <c r="AD31" s="88">
        <v>9000</v>
      </c>
      <c r="AE31" s="20"/>
      <c r="AG31" s="1"/>
      <c r="AH31" s="1"/>
      <c r="AI31" s="1"/>
      <c r="AJ31" s="1"/>
      <c r="AK31" s="1"/>
      <c r="AL31" s="1"/>
      <c r="AM31" s="1"/>
      <c r="AN31" s="1" t="s">
        <v>22</v>
      </c>
      <c r="AO31" s="88">
        <v>0</v>
      </c>
      <c r="AP31" s="20">
        <v>6750</v>
      </c>
      <c r="AQ31" s="16"/>
      <c r="AS31" s="1"/>
      <c r="AT31" s="1"/>
      <c r="AU31" s="1"/>
      <c r="AV31" s="1"/>
      <c r="AW31" s="1"/>
      <c r="AX31" s="1"/>
      <c r="AY31" s="1"/>
      <c r="AZ31" s="1" t="s">
        <v>22</v>
      </c>
      <c r="BA31" s="88">
        <v>7656.13</v>
      </c>
      <c r="BB31" s="20">
        <v>2250</v>
      </c>
    </row>
    <row r="32" spans="1:54" ht="14.85" customHeight="1" x14ac:dyDescent="0.25">
      <c r="A32" s="37"/>
      <c r="B32" s="1"/>
      <c r="C32" s="1"/>
      <c r="D32" s="1"/>
      <c r="E32" s="1"/>
      <c r="F32" s="1"/>
      <c r="G32" s="1" t="s">
        <v>23</v>
      </c>
      <c r="H32" s="69">
        <v>2932.35</v>
      </c>
      <c r="I32" s="121">
        <v>1862.1</v>
      </c>
      <c r="J32" s="119">
        <f t="shared" si="6"/>
        <v>4794.45</v>
      </c>
      <c r="K32" s="61">
        <v>4500</v>
      </c>
      <c r="L32" s="128">
        <f t="shared" si="7"/>
        <v>4275</v>
      </c>
      <c r="M32" s="128">
        <v>4800</v>
      </c>
      <c r="N32" s="129">
        <f t="shared" si="8"/>
        <v>-519.44999999999982</v>
      </c>
      <c r="O32" s="138">
        <f t="shared" si="9"/>
        <v>525</v>
      </c>
      <c r="Q32" s="17"/>
      <c r="R32" s="154"/>
      <c r="S32" s="17"/>
      <c r="T32" s="17"/>
      <c r="U32" s="17"/>
      <c r="V32" s="1"/>
      <c r="W32" s="1"/>
      <c r="X32" s="1"/>
      <c r="Y32" s="1"/>
      <c r="Z32" s="1"/>
      <c r="AA32" s="1"/>
      <c r="AB32" s="1" t="s">
        <v>23</v>
      </c>
      <c r="AC32" s="20">
        <v>2932.35</v>
      </c>
      <c r="AD32" s="88">
        <v>4500</v>
      </c>
      <c r="AE32" s="20"/>
      <c r="AG32" s="1"/>
      <c r="AH32" s="1"/>
      <c r="AI32" s="1"/>
      <c r="AJ32" s="1"/>
      <c r="AK32" s="1"/>
      <c r="AL32" s="1"/>
      <c r="AM32" s="1"/>
      <c r="AN32" s="1" t="s">
        <v>23</v>
      </c>
      <c r="AO32" s="88">
        <v>2932.35</v>
      </c>
      <c r="AP32" s="20">
        <v>3375</v>
      </c>
      <c r="AQ32" s="16"/>
      <c r="AS32" s="1"/>
      <c r="AT32" s="1"/>
      <c r="AU32" s="1"/>
      <c r="AV32" s="1"/>
      <c r="AW32" s="1"/>
      <c r="AX32" s="1"/>
      <c r="AY32" s="1"/>
      <c r="AZ32" s="1" t="s">
        <v>23</v>
      </c>
      <c r="BA32" s="88">
        <v>1862.1</v>
      </c>
      <c r="BB32" s="20">
        <v>628</v>
      </c>
    </row>
    <row r="33" spans="1:54" ht="14.85" customHeight="1" x14ac:dyDescent="0.25">
      <c r="A33" s="37"/>
      <c r="B33" s="1"/>
      <c r="C33" s="1"/>
      <c r="D33" s="1"/>
      <c r="E33" s="1"/>
      <c r="F33" s="1"/>
      <c r="G33" s="1" t="s">
        <v>24</v>
      </c>
      <c r="H33" s="69">
        <v>696.25</v>
      </c>
      <c r="I33" s="121">
        <v>0</v>
      </c>
      <c r="J33" s="119">
        <f t="shared" si="6"/>
        <v>696.25</v>
      </c>
      <c r="K33" s="61">
        <v>1500</v>
      </c>
      <c r="L33" s="128">
        <f t="shared" si="7"/>
        <v>1425</v>
      </c>
      <c r="M33" s="128">
        <v>1400</v>
      </c>
      <c r="N33" s="129">
        <f t="shared" si="8"/>
        <v>728.75</v>
      </c>
      <c r="O33" s="138">
        <f t="shared" si="9"/>
        <v>-25</v>
      </c>
      <c r="Q33" s="17"/>
      <c r="R33" s="154"/>
      <c r="S33" s="17"/>
      <c r="T33" s="17"/>
      <c r="U33" s="17"/>
      <c r="V33" s="1"/>
      <c r="W33" s="1"/>
      <c r="X33" s="1"/>
      <c r="Y33" s="1"/>
      <c r="Z33" s="1"/>
      <c r="AA33" s="1"/>
      <c r="AB33" s="1" t="s">
        <v>24</v>
      </c>
      <c r="AC33" s="20">
        <v>696.25</v>
      </c>
      <c r="AD33" s="88">
        <v>1500</v>
      </c>
      <c r="AE33" s="20"/>
      <c r="AG33" s="1"/>
      <c r="AH33" s="1"/>
      <c r="AI33" s="1"/>
      <c r="AJ33" s="1"/>
      <c r="AK33" s="1"/>
      <c r="AL33" s="1"/>
      <c r="AM33" s="1"/>
      <c r="AN33" s="1" t="s">
        <v>24</v>
      </c>
      <c r="AO33" s="88">
        <v>696.25</v>
      </c>
      <c r="AP33" s="20">
        <v>1125</v>
      </c>
      <c r="AQ33" s="16"/>
      <c r="AS33" s="1"/>
      <c r="AT33" s="1"/>
      <c r="AU33" s="1"/>
      <c r="AV33" s="1"/>
      <c r="AW33" s="1"/>
      <c r="AX33" s="1"/>
      <c r="AY33" s="1"/>
      <c r="AZ33" s="1" t="s">
        <v>24</v>
      </c>
      <c r="BA33" s="88">
        <v>0</v>
      </c>
      <c r="BB33" s="20">
        <v>497</v>
      </c>
    </row>
    <row r="34" spans="1:54" ht="14.85" customHeight="1" thickBot="1" x14ac:dyDescent="0.3">
      <c r="A34" s="37"/>
      <c r="B34" s="1"/>
      <c r="C34" s="1"/>
      <c r="D34" s="1"/>
      <c r="E34" s="1"/>
      <c r="F34" s="1"/>
      <c r="G34" s="1" t="s">
        <v>113</v>
      </c>
      <c r="H34" s="70">
        <v>1032.28</v>
      </c>
      <c r="I34" s="123">
        <v>283.92</v>
      </c>
      <c r="J34" s="120">
        <f t="shared" si="6"/>
        <v>1316.2</v>
      </c>
      <c r="K34" s="62">
        <v>1000</v>
      </c>
      <c r="L34" s="127">
        <f t="shared" si="7"/>
        <v>950</v>
      </c>
      <c r="M34" s="127">
        <v>1200</v>
      </c>
      <c r="N34" s="130">
        <f t="shared" si="8"/>
        <v>-366.20000000000005</v>
      </c>
      <c r="O34" s="141">
        <f t="shared" si="9"/>
        <v>250</v>
      </c>
      <c r="Q34" s="17"/>
      <c r="R34" s="154"/>
      <c r="S34" s="17"/>
      <c r="T34" s="17"/>
      <c r="U34" s="17"/>
      <c r="V34" s="1"/>
      <c r="W34" s="1"/>
      <c r="X34" s="1"/>
      <c r="Y34" s="1"/>
      <c r="Z34" s="1"/>
      <c r="AA34" s="1"/>
      <c r="AB34" s="1" t="s">
        <v>113</v>
      </c>
      <c r="AC34" s="39">
        <v>1050.9000000000001</v>
      </c>
      <c r="AD34" s="91">
        <v>1000</v>
      </c>
      <c r="AE34" s="20"/>
      <c r="AG34" s="1"/>
      <c r="AH34" s="1"/>
      <c r="AI34" s="1"/>
      <c r="AJ34" s="1"/>
      <c r="AK34" s="1"/>
      <c r="AL34" s="1"/>
      <c r="AM34" s="1"/>
      <c r="AN34" s="1" t="s">
        <v>113</v>
      </c>
      <c r="AO34" s="91">
        <v>1032.28</v>
      </c>
      <c r="AP34" s="39">
        <v>747</v>
      </c>
      <c r="AQ34" s="16"/>
      <c r="AS34" s="1"/>
      <c r="AT34" s="1"/>
      <c r="AU34" s="1"/>
      <c r="AV34" s="1"/>
      <c r="AW34" s="1"/>
      <c r="AX34" s="1"/>
      <c r="AY34" s="1"/>
      <c r="AZ34" s="1" t="s">
        <v>113</v>
      </c>
      <c r="BA34" s="91">
        <v>283.92</v>
      </c>
      <c r="BB34" s="39">
        <v>253</v>
      </c>
    </row>
    <row r="35" spans="1:54" s="11" customFormat="1" ht="14.85" customHeight="1" x14ac:dyDescent="0.25">
      <c r="A35" s="37"/>
      <c r="B35" s="13"/>
      <c r="C35" s="13"/>
      <c r="D35" s="13"/>
      <c r="E35" s="13"/>
      <c r="F35" s="13" t="s">
        <v>25</v>
      </c>
      <c r="G35" s="13"/>
      <c r="H35" s="75">
        <f>ROUND(SUM(H18:H34),5)</f>
        <v>43569.24</v>
      </c>
      <c r="I35" s="75">
        <f t="shared" ref="I35:O35" si="10">ROUND(SUM(I18:I34),5)</f>
        <v>21025.61</v>
      </c>
      <c r="J35" s="75">
        <f t="shared" si="10"/>
        <v>64594.85</v>
      </c>
      <c r="K35" s="75">
        <f t="shared" si="10"/>
        <v>75200</v>
      </c>
      <c r="L35" s="75">
        <f t="shared" si="10"/>
        <v>71440</v>
      </c>
      <c r="M35" s="75">
        <f t="shared" si="10"/>
        <v>72735</v>
      </c>
      <c r="N35" s="94">
        <f t="shared" si="10"/>
        <v>6845.15</v>
      </c>
      <c r="O35" s="142">
        <f t="shared" si="10"/>
        <v>1295</v>
      </c>
      <c r="Q35" s="17"/>
      <c r="R35" s="17"/>
      <c r="S35" s="17"/>
      <c r="T35" s="17"/>
      <c r="U35" s="17"/>
      <c r="V35" s="1"/>
      <c r="W35" s="1"/>
      <c r="X35" s="1"/>
      <c r="Y35" s="1"/>
      <c r="Z35" s="1"/>
      <c r="AA35" s="1" t="s">
        <v>25</v>
      </c>
      <c r="AB35" s="1"/>
      <c r="AC35" s="20">
        <f>ROUND(SUM(AC18:AC34),5)</f>
        <v>44038.83</v>
      </c>
      <c r="AD35" s="88">
        <f>ROUND(SUM(AD18:AD34),5)</f>
        <v>75200</v>
      </c>
      <c r="AE35" s="21"/>
      <c r="AG35" s="1"/>
      <c r="AH35" s="1"/>
      <c r="AI35" s="1"/>
      <c r="AJ35" s="1"/>
      <c r="AK35" s="1"/>
      <c r="AL35" s="1"/>
      <c r="AM35" s="1" t="s">
        <v>25</v>
      </c>
      <c r="AN35" s="1"/>
      <c r="AO35" s="88">
        <f>ROUND(SUM(AO18:AO34),5)</f>
        <v>43569.24</v>
      </c>
      <c r="AP35" s="20">
        <f>ROUND(SUM(AP18:AP34),5)</f>
        <v>56394</v>
      </c>
      <c r="AQ35" s="18"/>
      <c r="AS35" s="1"/>
      <c r="AT35" s="1"/>
      <c r="AU35" s="1"/>
      <c r="AV35" s="1"/>
      <c r="AW35" s="1"/>
      <c r="AX35" s="1"/>
      <c r="AY35" s="1" t="s">
        <v>25</v>
      </c>
      <c r="AZ35" s="1"/>
      <c r="BA35" s="88">
        <f>ROUND(SUM(BA18:BA34),5)</f>
        <v>21025.61</v>
      </c>
      <c r="BB35" s="20">
        <f>ROUND(SUM(BB18:BB34),5)</f>
        <v>19885</v>
      </c>
    </row>
    <row r="36" spans="1:54" ht="14.85" customHeight="1" x14ac:dyDescent="0.25">
      <c r="A36" s="37"/>
      <c r="B36" s="1"/>
      <c r="C36" s="1"/>
      <c r="D36" s="1"/>
      <c r="E36" s="1"/>
      <c r="F36" s="1" t="s">
        <v>26</v>
      </c>
      <c r="G36" s="1"/>
      <c r="H36" s="60"/>
      <c r="I36" s="60"/>
      <c r="J36" s="60"/>
      <c r="K36" s="60"/>
      <c r="L36" s="74"/>
      <c r="M36" s="74"/>
      <c r="N36" s="95"/>
      <c r="O36" s="140"/>
      <c r="Q36" s="17"/>
      <c r="R36" s="17"/>
      <c r="S36" s="17"/>
      <c r="T36" s="17"/>
      <c r="U36" s="17"/>
      <c r="V36" s="1"/>
      <c r="W36" s="1"/>
      <c r="X36" s="1"/>
      <c r="Y36" s="1"/>
      <c r="Z36" s="1"/>
      <c r="AA36" s="1" t="s">
        <v>26</v>
      </c>
      <c r="AB36" s="1"/>
      <c r="AC36" s="20"/>
      <c r="AD36" s="88"/>
      <c r="AE36" s="20"/>
      <c r="AG36" s="1"/>
      <c r="AH36" s="1"/>
      <c r="AI36" s="1"/>
      <c r="AJ36" s="1"/>
      <c r="AK36" s="1"/>
      <c r="AL36" s="1"/>
      <c r="AM36" s="1" t="s">
        <v>26</v>
      </c>
      <c r="AN36" s="1"/>
      <c r="AO36" s="88"/>
      <c r="AP36" s="20"/>
      <c r="AQ36" s="16"/>
      <c r="AS36" s="1"/>
      <c r="AT36" s="1"/>
      <c r="AU36" s="1"/>
      <c r="AV36" s="1"/>
      <c r="AW36" s="1"/>
      <c r="AX36" s="1"/>
      <c r="AY36" s="1" t="s">
        <v>26</v>
      </c>
      <c r="AZ36" s="1"/>
      <c r="BA36" s="88"/>
      <c r="BB36" s="20"/>
    </row>
    <row r="37" spans="1:54" ht="14.85" customHeight="1" x14ac:dyDescent="0.25">
      <c r="A37" s="37"/>
      <c r="B37" s="1"/>
      <c r="C37" s="1"/>
      <c r="D37" s="1"/>
      <c r="E37" s="1"/>
      <c r="F37" s="1"/>
      <c r="G37" s="1" t="s">
        <v>27</v>
      </c>
      <c r="H37" s="69">
        <v>240557.24</v>
      </c>
      <c r="I37" s="121">
        <f>73178.14+6000</f>
        <v>79178.14</v>
      </c>
      <c r="J37" s="119">
        <f t="shared" ref="J37:J44" si="11">SUM(H37:I37)</f>
        <v>319735.38</v>
      </c>
      <c r="K37" s="61">
        <v>347298</v>
      </c>
      <c r="L37" s="128">
        <f t="shared" ref="L37:L44" si="12">K37-(K37*0.05)</f>
        <v>329933.09999999998</v>
      </c>
      <c r="M37" s="128">
        <f>(386896+11520)-M38</f>
        <v>331316</v>
      </c>
      <c r="N37" s="129">
        <f t="shared" ref="N37:N44" si="13">L37-J37</f>
        <v>10197.719999999972</v>
      </c>
      <c r="O37" s="138">
        <f t="shared" ref="O37:O44" si="14">M37-L37</f>
        <v>1382.9000000000233</v>
      </c>
      <c r="P37" s="71"/>
      <c r="Q37" s="17"/>
      <c r="R37" s="154"/>
      <c r="S37" s="17"/>
      <c r="T37" s="17"/>
      <c r="U37" s="17"/>
      <c r="V37" s="1"/>
      <c r="W37" s="1"/>
      <c r="X37" s="1"/>
      <c r="Y37" s="1"/>
      <c r="Z37" s="1"/>
      <c r="AA37" s="1"/>
      <c r="AB37" s="1" t="s">
        <v>27</v>
      </c>
      <c r="AC37" s="20">
        <v>253373.58</v>
      </c>
      <c r="AD37" s="88">
        <v>347298</v>
      </c>
      <c r="AE37" s="20"/>
      <c r="AG37" s="1"/>
      <c r="AH37" s="1"/>
      <c r="AI37" s="1"/>
      <c r="AJ37" s="1"/>
      <c r="AK37" s="1"/>
      <c r="AL37" s="1"/>
      <c r="AM37" s="1"/>
      <c r="AN37" s="1" t="s">
        <v>27</v>
      </c>
      <c r="AO37" s="88">
        <v>240557.24</v>
      </c>
      <c r="AP37" s="20">
        <v>260478</v>
      </c>
      <c r="AQ37" s="16"/>
      <c r="AS37" s="1"/>
      <c r="AT37" s="1"/>
      <c r="AU37" s="1"/>
      <c r="AV37" s="1"/>
      <c r="AW37" s="1"/>
      <c r="AX37" s="1"/>
      <c r="AY37" s="1"/>
      <c r="AZ37" s="1" t="s">
        <v>27</v>
      </c>
      <c r="BA37" s="88">
        <v>73178.14</v>
      </c>
      <c r="BB37" s="20">
        <v>78137</v>
      </c>
    </row>
    <row r="38" spans="1:54" ht="14.85" customHeight="1" x14ac:dyDescent="0.25">
      <c r="A38" s="37"/>
      <c r="B38" s="1"/>
      <c r="C38" s="1"/>
      <c r="D38" s="1"/>
      <c r="E38" s="1"/>
      <c r="F38" s="1"/>
      <c r="G38" s="1" t="s">
        <v>28</v>
      </c>
      <c r="H38" s="69">
        <v>49375.14</v>
      </c>
      <c r="I38" s="121">
        <v>19249.7</v>
      </c>
      <c r="J38" s="119">
        <f t="shared" si="11"/>
        <v>68624.84</v>
      </c>
      <c r="K38" s="61">
        <v>80000</v>
      </c>
      <c r="L38" s="128">
        <f t="shared" si="12"/>
        <v>76000</v>
      </c>
      <c r="M38" s="128">
        <f>16000+25000+13050+13050</f>
        <v>67100</v>
      </c>
      <c r="N38" s="129">
        <f t="shared" si="13"/>
        <v>7375.1600000000035</v>
      </c>
      <c r="O38" s="138">
        <f t="shared" si="14"/>
        <v>-8900</v>
      </c>
      <c r="P38" s="71"/>
      <c r="Q38" s="17"/>
      <c r="R38" s="154"/>
      <c r="S38" s="17"/>
      <c r="T38" s="17"/>
      <c r="U38" s="17"/>
      <c r="V38" s="1"/>
      <c r="W38" s="1"/>
      <c r="X38" s="1"/>
      <c r="Y38" s="1"/>
      <c r="Z38" s="1"/>
      <c r="AA38" s="1"/>
      <c r="AB38" s="1" t="s">
        <v>28</v>
      </c>
      <c r="AC38" s="20">
        <v>52083.48</v>
      </c>
      <c r="AD38" s="88">
        <v>80000</v>
      </c>
      <c r="AE38" s="20"/>
      <c r="AG38" s="1"/>
      <c r="AH38" s="1"/>
      <c r="AI38" s="1"/>
      <c r="AJ38" s="1"/>
      <c r="AK38" s="1"/>
      <c r="AL38" s="1"/>
      <c r="AM38" s="1"/>
      <c r="AN38" s="1" t="s">
        <v>28</v>
      </c>
      <c r="AO38" s="88">
        <v>49375.14</v>
      </c>
      <c r="AP38" s="20">
        <v>60003</v>
      </c>
      <c r="AQ38" s="16"/>
      <c r="AS38" s="1"/>
      <c r="AT38" s="1"/>
      <c r="AU38" s="1"/>
      <c r="AV38" s="1"/>
      <c r="AW38" s="1"/>
      <c r="AX38" s="1"/>
      <c r="AY38" s="1"/>
      <c r="AZ38" s="1" t="s">
        <v>28</v>
      </c>
      <c r="BA38" s="88">
        <v>19249.7</v>
      </c>
      <c r="BB38" s="20">
        <v>19997</v>
      </c>
    </row>
    <row r="39" spans="1:54" ht="14.85" customHeight="1" x14ac:dyDescent="0.25">
      <c r="A39" s="37"/>
      <c r="B39" s="1"/>
      <c r="C39" s="1"/>
      <c r="D39" s="1"/>
      <c r="E39" s="1"/>
      <c r="F39" s="1"/>
      <c r="G39" s="1" t="s">
        <v>29</v>
      </c>
      <c r="H39" s="69">
        <v>252.28</v>
      </c>
      <c r="I39" s="121">
        <v>111.78</v>
      </c>
      <c r="J39" s="119">
        <f t="shared" si="11"/>
        <v>364.06</v>
      </c>
      <c r="K39" s="61">
        <v>1200</v>
      </c>
      <c r="L39" s="128">
        <f t="shared" si="12"/>
        <v>1140</v>
      </c>
      <c r="M39" s="128">
        <v>1200</v>
      </c>
      <c r="N39" s="129">
        <f t="shared" si="13"/>
        <v>775.94</v>
      </c>
      <c r="O39" s="138">
        <f t="shared" si="14"/>
        <v>60</v>
      </c>
      <c r="P39" s="71"/>
      <c r="Q39" s="17"/>
      <c r="R39" s="154"/>
      <c r="S39" s="17"/>
      <c r="T39" s="17"/>
      <c r="U39" s="17"/>
      <c r="V39" s="1"/>
      <c r="W39" s="1"/>
      <c r="X39" s="1"/>
      <c r="Y39" s="1"/>
      <c r="Z39" s="1"/>
      <c r="AA39" s="1"/>
      <c r="AB39" s="1" t="s">
        <v>29</v>
      </c>
      <c r="AC39" s="20">
        <v>252.28</v>
      </c>
      <c r="AD39" s="88">
        <v>1200</v>
      </c>
      <c r="AE39" s="20"/>
      <c r="AG39" s="1"/>
      <c r="AH39" s="1"/>
      <c r="AI39" s="1"/>
      <c r="AJ39" s="1"/>
      <c r="AK39" s="1"/>
      <c r="AL39" s="1"/>
      <c r="AM39" s="1"/>
      <c r="AN39" s="1" t="s">
        <v>29</v>
      </c>
      <c r="AO39" s="88">
        <v>252.28</v>
      </c>
      <c r="AP39" s="20">
        <v>900</v>
      </c>
      <c r="AQ39" s="16"/>
      <c r="AS39" s="1"/>
      <c r="AT39" s="1"/>
      <c r="AU39" s="1"/>
      <c r="AV39" s="1"/>
      <c r="AW39" s="1"/>
      <c r="AX39" s="1"/>
      <c r="AY39" s="1"/>
      <c r="AZ39" s="1" t="s">
        <v>29</v>
      </c>
      <c r="BA39" s="88">
        <v>111.78</v>
      </c>
      <c r="BB39" s="20">
        <v>225</v>
      </c>
    </row>
    <row r="40" spans="1:54" ht="14.85" customHeight="1" x14ac:dyDescent="0.25">
      <c r="A40" s="37"/>
      <c r="B40" s="1"/>
      <c r="C40" s="1"/>
      <c r="D40" s="1"/>
      <c r="E40" s="1"/>
      <c r="F40" s="1"/>
      <c r="G40" s="1" t="s">
        <v>30</v>
      </c>
      <c r="H40" s="69">
        <v>1700.41</v>
      </c>
      <c r="I40" s="121">
        <v>266.81</v>
      </c>
      <c r="J40" s="119">
        <f t="shared" si="11"/>
        <v>1967.22</v>
      </c>
      <c r="K40" s="61">
        <v>6800</v>
      </c>
      <c r="L40" s="128">
        <f t="shared" si="12"/>
        <v>6460</v>
      </c>
      <c r="M40" s="128">
        <f>1200*4+350</f>
        <v>5150</v>
      </c>
      <c r="N40" s="129">
        <f t="shared" si="13"/>
        <v>4492.78</v>
      </c>
      <c r="O40" s="138">
        <f t="shared" si="14"/>
        <v>-1310</v>
      </c>
      <c r="P40" s="71"/>
      <c r="Q40" s="17"/>
      <c r="R40" s="154"/>
      <c r="S40" s="17"/>
      <c r="T40" s="17"/>
      <c r="U40" s="17"/>
      <c r="V40" s="1"/>
      <c r="W40" s="1"/>
      <c r="X40" s="1"/>
      <c r="Y40" s="1"/>
      <c r="Z40" s="1"/>
      <c r="AA40" s="1"/>
      <c r="AB40" s="1" t="s">
        <v>30</v>
      </c>
      <c r="AC40" s="20">
        <v>1700.41</v>
      </c>
      <c r="AD40" s="88">
        <v>6800</v>
      </c>
      <c r="AE40" s="20"/>
      <c r="AG40" s="1"/>
      <c r="AH40" s="1"/>
      <c r="AI40" s="1"/>
      <c r="AJ40" s="1"/>
      <c r="AK40" s="1"/>
      <c r="AL40" s="1"/>
      <c r="AM40" s="1"/>
      <c r="AN40" s="1" t="s">
        <v>30</v>
      </c>
      <c r="AO40" s="88">
        <v>1700.41</v>
      </c>
      <c r="AP40" s="20">
        <v>5103</v>
      </c>
      <c r="AQ40" s="16"/>
      <c r="AS40" s="1"/>
      <c r="AT40" s="1"/>
      <c r="AU40" s="1"/>
      <c r="AV40" s="1"/>
      <c r="AW40" s="1"/>
      <c r="AX40" s="1"/>
      <c r="AY40" s="1"/>
      <c r="AZ40" s="1" t="s">
        <v>30</v>
      </c>
      <c r="BA40" s="88">
        <v>266.81</v>
      </c>
      <c r="BB40" s="20">
        <v>1697</v>
      </c>
    </row>
    <row r="41" spans="1:54" ht="14.85" customHeight="1" x14ac:dyDescent="0.25">
      <c r="A41" s="37"/>
      <c r="B41" s="1"/>
      <c r="C41" s="1"/>
      <c r="D41" s="1"/>
      <c r="E41" s="1"/>
      <c r="F41" s="1"/>
      <c r="G41" s="1" t="s">
        <v>31</v>
      </c>
      <c r="H41" s="69">
        <v>3592</v>
      </c>
      <c r="I41" s="121">
        <v>0</v>
      </c>
      <c r="J41" s="119">
        <f t="shared" si="11"/>
        <v>3592</v>
      </c>
      <c r="K41" s="61">
        <v>5800</v>
      </c>
      <c r="L41" s="128">
        <f t="shared" si="12"/>
        <v>5510</v>
      </c>
      <c r="M41" s="128">
        <v>5500</v>
      </c>
      <c r="N41" s="129">
        <f t="shared" si="13"/>
        <v>1918</v>
      </c>
      <c r="O41" s="138">
        <f t="shared" si="14"/>
        <v>-10</v>
      </c>
      <c r="P41" s="71"/>
      <c r="Q41" s="17"/>
      <c r="R41" s="154"/>
      <c r="S41" s="17"/>
      <c r="T41" s="17"/>
      <c r="U41" s="17"/>
      <c r="V41" s="1"/>
      <c r="W41" s="1"/>
      <c r="X41" s="1"/>
      <c r="Y41" s="1"/>
      <c r="Z41" s="1"/>
      <c r="AA41" s="1"/>
      <c r="AB41" s="1" t="s">
        <v>31</v>
      </c>
      <c r="AC41" s="20">
        <v>3592</v>
      </c>
      <c r="AD41" s="88">
        <v>5800</v>
      </c>
      <c r="AE41" s="20"/>
      <c r="AG41" s="1"/>
      <c r="AH41" s="1"/>
      <c r="AI41" s="1"/>
      <c r="AJ41" s="1"/>
      <c r="AK41" s="1"/>
      <c r="AL41" s="1"/>
      <c r="AM41" s="1"/>
      <c r="AN41" s="1" t="s">
        <v>31</v>
      </c>
      <c r="AO41" s="88">
        <v>3592</v>
      </c>
      <c r="AP41" s="20">
        <v>4347</v>
      </c>
      <c r="AQ41" s="16"/>
      <c r="AS41" s="1"/>
      <c r="AT41" s="1"/>
      <c r="AU41" s="1"/>
      <c r="AV41" s="1"/>
      <c r="AW41" s="1"/>
      <c r="AX41" s="1"/>
      <c r="AY41" s="1"/>
      <c r="AZ41" s="1" t="s">
        <v>31</v>
      </c>
      <c r="BA41" s="88">
        <v>0</v>
      </c>
      <c r="BB41" s="20">
        <v>1200</v>
      </c>
    </row>
    <row r="42" spans="1:54" ht="14.85" customHeight="1" x14ac:dyDescent="0.25">
      <c r="A42" s="37"/>
      <c r="B42" s="1"/>
      <c r="C42" s="1"/>
      <c r="D42" s="1"/>
      <c r="E42" s="1"/>
      <c r="F42" s="1"/>
      <c r="G42" s="1" t="s">
        <v>32</v>
      </c>
      <c r="H42" s="69">
        <v>29767.68</v>
      </c>
      <c r="I42" s="121">
        <v>10784.23</v>
      </c>
      <c r="J42" s="119">
        <f t="shared" si="11"/>
        <v>40551.910000000003</v>
      </c>
      <c r="K42" s="61">
        <v>47772</v>
      </c>
      <c r="L42" s="128">
        <f t="shared" si="12"/>
        <v>45383.4</v>
      </c>
      <c r="M42" s="128">
        <f>32013+2378+1612</f>
        <v>36003</v>
      </c>
      <c r="N42" s="129">
        <f t="shared" si="13"/>
        <v>4831.489999999998</v>
      </c>
      <c r="O42" s="138">
        <f t="shared" si="14"/>
        <v>-9380.4000000000015</v>
      </c>
      <c r="P42" s="71"/>
      <c r="Q42" s="17"/>
      <c r="R42" s="154"/>
      <c r="S42" s="17"/>
      <c r="T42" s="17"/>
      <c r="U42" s="17"/>
      <c r="V42" s="1"/>
      <c r="W42" s="1"/>
      <c r="X42" s="1"/>
      <c r="Y42" s="1"/>
      <c r="Z42" s="1"/>
      <c r="AA42" s="1"/>
      <c r="AB42" s="1" t="s">
        <v>32</v>
      </c>
      <c r="AC42" s="20">
        <v>29722.38</v>
      </c>
      <c r="AD42" s="88">
        <v>47772</v>
      </c>
      <c r="AE42" s="20"/>
      <c r="AG42" s="1"/>
      <c r="AH42" s="1"/>
      <c r="AI42" s="1"/>
      <c r="AJ42" s="1"/>
      <c r="AK42" s="1"/>
      <c r="AL42" s="1"/>
      <c r="AM42" s="1"/>
      <c r="AN42" s="1" t="s">
        <v>32</v>
      </c>
      <c r="AO42" s="88">
        <v>29767.68</v>
      </c>
      <c r="AP42" s="20">
        <v>35829</v>
      </c>
      <c r="AQ42" s="16"/>
      <c r="AS42" s="1"/>
      <c r="AT42" s="1"/>
      <c r="AU42" s="1"/>
      <c r="AV42" s="1"/>
      <c r="AW42" s="1"/>
      <c r="AX42" s="1"/>
      <c r="AY42" s="1"/>
      <c r="AZ42" s="1" t="s">
        <v>32</v>
      </c>
      <c r="BA42" s="88">
        <v>10784.23</v>
      </c>
      <c r="BB42" s="20">
        <v>10245</v>
      </c>
    </row>
    <row r="43" spans="1:54" ht="14.85" customHeight="1" x14ac:dyDescent="0.25">
      <c r="A43" s="37"/>
      <c r="B43" s="1"/>
      <c r="C43" s="1"/>
      <c r="D43" s="1"/>
      <c r="E43" s="1"/>
      <c r="F43" s="1"/>
      <c r="G43" s="1" t="s">
        <v>33</v>
      </c>
      <c r="H43" s="69">
        <v>7475.6</v>
      </c>
      <c r="I43" s="121">
        <v>2327.85</v>
      </c>
      <c r="J43" s="119">
        <f t="shared" si="11"/>
        <v>9803.4500000000007</v>
      </c>
      <c r="K43" s="61">
        <v>11155</v>
      </c>
      <c r="L43" s="128">
        <f t="shared" si="12"/>
        <v>10597.25</v>
      </c>
      <c r="M43" s="128">
        <v>10528</v>
      </c>
      <c r="N43" s="129">
        <f t="shared" si="13"/>
        <v>793.79999999999927</v>
      </c>
      <c r="O43" s="138">
        <f t="shared" si="14"/>
        <v>-69.25</v>
      </c>
      <c r="P43" s="71"/>
      <c r="Q43" s="17"/>
      <c r="R43" s="154"/>
      <c r="S43" s="17"/>
      <c r="T43" s="17"/>
      <c r="U43" s="17"/>
      <c r="V43" s="1"/>
      <c r="W43" s="1"/>
      <c r="X43" s="1"/>
      <c r="Y43" s="1"/>
      <c r="Z43" s="1"/>
      <c r="AA43" s="1"/>
      <c r="AB43" s="1" t="s">
        <v>33</v>
      </c>
      <c r="AC43" s="20">
        <v>7475.6</v>
      </c>
      <c r="AD43" s="88">
        <v>11155</v>
      </c>
      <c r="AE43" s="20"/>
      <c r="AG43" s="1"/>
      <c r="AH43" s="1"/>
      <c r="AI43" s="1"/>
      <c r="AJ43" s="1"/>
      <c r="AK43" s="1"/>
      <c r="AL43" s="1"/>
      <c r="AM43" s="1"/>
      <c r="AN43" s="1" t="s">
        <v>33</v>
      </c>
      <c r="AO43" s="88">
        <v>7475.6</v>
      </c>
      <c r="AP43" s="20">
        <v>8370</v>
      </c>
      <c r="AQ43" s="16"/>
      <c r="AS43" s="1"/>
      <c r="AT43" s="1"/>
      <c r="AU43" s="1"/>
      <c r="AV43" s="1"/>
      <c r="AW43" s="1"/>
      <c r="AX43" s="1"/>
      <c r="AY43" s="1"/>
      <c r="AZ43" s="1" t="s">
        <v>33</v>
      </c>
      <c r="BA43" s="88">
        <v>2327.85</v>
      </c>
      <c r="BB43" s="20">
        <v>2449</v>
      </c>
    </row>
    <row r="44" spans="1:54" ht="14.85" customHeight="1" thickBot="1" x14ac:dyDescent="0.3">
      <c r="A44" s="37"/>
      <c r="B44" s="1"/>
      <c r="C44" s="1"/>
      <c r="D44" s="1"/>
      <c r="E44" s="1"/>
      <c r="F44" s="1"/>
      <c r="G44" s="1" t="s">
        <v>34</v>
      </c>
      <c r="H44" s="70">
        <v>6971.7</v>
      </c>
      <c r="I44" s="123">
        <v>2045.52</v>
      </c>
      <c r="J44" s="120">
        <f t="shared" si="11"/>
        <v>9017.2199999999993</v>
      </c>
      <c r="K44" s="62">
        <v>8818</v>
      </c>
      <c r="L44" s="127">
        <f t="shared" si="12"/>
        <v>8377.1</v>
      </c>
      <c r="M44" s="127">
        <v>8637</v>
      </c>
      <c r="N44" s="130">
        <f t="shared" si="13"/>
        <v>-640.11999999999898</v>
      </c>
      <c r="O44" s="141">
        <f t="shared" si="14"/>
        <v>259.89999999999964</v>
      </c>
      <c r="P44" s="71"/>
      <c r="Q44" s="17"/>
      <c r="R44" s="154"/>
      <c r="S44" s="17"/>
      <c r="T44" s="17"/>
      <c r="U44" s="17"/>
      <c r="V44" s="1"/>
      <c r="W44" s="1"/>
      <c r="X44" s="1"/>
      <c r="Y44" s="1"/>
      <c r="Z44" s="1"/>
      <c r="AA44" s="1"/>
      <c r="AB44" s="1" t="s">
        <v>34</v>
      </c>
      <c r="AC44" s="39">
        <v>7322.37</v>
      </c>
      <c r="AD44" s="91">
        <v>8818</v>
      </c>
      <c r="AE44" s="20"/>
      <c r="AG44" s="1"/>
      <c r="AH44" s="1"/>
      <c r="AI44" s="1"/>
      <c r="AJ44" s="1"/>
      <c r="AK44" s="1"/>
      <c r="AL44" s="1"/>
      <c r="AM44" s="1"/>
      <c r="AN44" s="1" t="s">
        <v>34</v>
      </c>
      <c r="AO44" s="91">
        <v>6971.7</v>
      </c>
      <c r="AP44" s="39">
        <v>6615</v>
      </c>
      <c r="AQ44" s="16"/>
      <c r="AS44" s="1"/>
      <c r="AT44" s="1"/>
      <c r="AU44" s="1"/>
      <c r="AV44" s="1"/>
      <c r="AW44" s="1"/>
      <c r="AX44" s="1"/>
      <c r="AY44" s="1"/>
      <c r="AZ44" s="1" t="s">
        <v>34</v>
      </c>
      <c r="BA44" s="91">
        <v>2045.52</v>
      </c>
      <c r="BB44" s="39">
        <v>2372</v>
      </c>
    </row>
    <row r="45" spans="1:54" s="11" customFormat="1" ht="14.85" customHeight="1" x14ac:dyDescent="0.25">
      <c r="A45" s="37"/>
      <c r="B45" s="13"/>
      <c r="C45" s="13"/>
      <c r="D45" s="13"/>
      <c r="E45" s="13"/>
      <c r="F45" s="13" t="s">
        <v>35</v>
      </c>
      <c r="G45" s="13"/>
      <c r="H45" s="75">
        <f>ROUND(SUM(H36:H44),5)</f>
        <v>339692.05</v>
      </c>
      <c r="I45" s="75">
        <f t="shared" ref="I45:O45" si="15">ROUND(SUM(I36:I44),5)</f>
        <v>113964.03</v>
      </c>
      <c r="J45" s="75">
        <f t="shared" si="15"/>
        <v>453656.08</v>
      </c>
      <c r="K45" s="76">
        <f t="shared" si="15"/>
        <v>508843</v>
      </c>
      <c r="L45" s="76">
        <f t="shared" si="15"/>
        <v>483400.85</v>
      </c>
      <c r="M45" s="76">
        <f t="shared" si="15"/>
        <v>465434</v>
      </c>
      <c r="N45" s="96">
        <f t="shared" si="15"/>
        <v>29744.77</v>
      </c>
      <c r="O45" s="142">
        <f t="shared" si="15"/>
        <v>-17966.849999999999</v>
      </c>
      <c r="Q45" s="17"/>
      <c r="R45" s="17"/>
      <c r="S45" s="17"/>
      <c r="T45" s="17"/>
      <c r="U45" s="17"/>
      <c r="V45" s="1"/>
      <c r="W45" s="1"/>
      <c r="X45" s="1"/>
      <c r="Y45" s="1"/>
      <c r="Z45" s="1"/>
      <c r="AA45" s="1" t="s">
        <v>35</v>
      </c>
      <c r="AB45" s="1"/>
      <c r="AC45" s="20">
        <f>ROUND(SUM(AC36:AC44),5)</f>
        <v>355522.1</v>
      </c>
      <c r="AD45" s="88">
        <f>ROUND(SUM(AD36:AD44),5)</f>
        <v>508843</v>
      </c>
      <c r="AE45" s="21"/>
      <c r="AG45" s="1"/>
      <c r="AH45" s="1"/>
      <c r="AI45" s="1"/>
      <c r="AJ45" s="1"/>
      <c r="AK45" s="1"/>
      <c r="AL45" s="1"/>
      <c r="AM45" s="1" t="s">
        <v>35</v>
      </c>
      <c r="AN45" s="1"/>
      <c r="AO45" s="88">
        <f>ROUND(SUM(AO36:AO44),5)</f>
        <v>339692.05</v>
      </c>
      <c r="AP45" s="20">
        <f>ROUND(SUM(AP36:AP44),5)</f>
        <v>381645</v>
      </c>
      <c r="AQ45" s="18"/>
      <c r="AS45" s="1"/>
      <c r="AT45" s="1"/>
      <c r="AU45" s="1"/>
      <c r="AV45" s="1"/>
      <c r="AW45" s="1"/>
      <c r="AX45" s="1"/>
      <c r="AY45" s="1" t="s">
        <v>35</v>
      </c>
      <c r="AZ45" s="1"/>
      <c r="BA45" s="88">
        <f>ROUND(SUM(BA36:BA44),5)</f>
        <v>107964.03</v>
      </c>
      <c r="BB45" s="20">
        <f>ROUND(SUM(BB36:BB44),5)</f>
        <v>116322</v>
      </c>
    </row>
    <row r="46" spans="1:54" ht="14.85" customHeight="1" x14ac:dyDescent="0.25">
      <c r="A46" s="37"/>
      <c r="B46" s="1"/>
      <c r="C46" s="1"/>
      <c r="D46" s="1"/>
      <c r="E46" s="1"/>
      <c r="F46" s="1" t="s">
        <v>36</v>
      </c>
      <c r="G46" s="1"/>
      <c r="H46" s="60"/>
      <c r="I46" s="60"/>
      <c r="J46" s="60"/>
      <c r="K46" s="60"/>
      <c r="L46" s="60"/>
      <c r="M46" s="60"/>
      <c r="N46" s="95"/>
      <c r="O46" s="140"/>
      <c r="Q46" s="17"/>
      <c r="R46" s="17"/>
      <c r="S46" s="17"/>
      <c r="T46" s="17"/>
      <c r="U46" s="17"/>
      <c r="V46" s="1"/>
      <c r="W46" s="1"/>
      <c r="X46" s="1"/>
      <c r="Y46" s="1"/>
      <c r="Z46" s="1"/>
      <c r="AA46" s="1" t="s">
        <v>36</v>
      </c>
      <c r="AB46" s="1"/>
      <c r="AC46" s="20"/>
      <c r="AD46" s="88"/>
      <c r="AE46" s="20"/>
      <c r="AG46" s="1"/>
      <c r="AH46" s="1"/>
      <c r="AI46" s="1"/>
      <c r="AJ46" s="1"/>
      <c r="AK46" s="1"/>
      <c r="AL46" s="1"/>
      <c r="AM46" s="1" t="s">
        <v>36</v>
      </c>
      <c r="AN46" s="1"/>
      <c r="AO46" s="88"/>
      <c r="AP46" s="20"/>
      <c r="AQ46" s="16"/>
      <c r="AS46" s="1"/>
      <c r="AT46" s="1"/>
      <c r="AU46" s="1"/>
      <c r="AV46" s="1"/>
      <c r="AW46" s="1"/>
      <c r="AX46" s="1"/>
      <c r="AY46" s="1" t="s">
        <v>36</v>
      </c>
      <c r="AZ46" s="1"/>
      <c r="BA46" s="88"/>
      <c r="BB46" s="20"/>
    </row>
    <row r="47" spans="1:54" ht="14.85" customHeight="1" x14ac:dyDescent="0.25">
      <c r="A47" s="37"/>
      <c r="B47" s="1"/>
      <c r="C47" s="1"/>
      <c r="D47" s="1"/>
      <c r="E47" s="1"/>
      <c r="F47" s="1"/>
      <c r="G47" s="1" t="s">
        <v>37</v>
      </c>
      <c r="H47" s="69">
        <v>1433.5</v>
      </c>
      <c r="I47" s="121">
        <v>0</v>
      </c>
      <c r="J47" s="119">
        <f t="shared" ref="J47:J49" si="16">SUM(H47:I47)</f>
        <v>1433.5</v>
      </c>
      <c r="K47" s="61">
        <v>3000</v>
      </c>
      <c r="L47" s="128">
        <f t="shared" ref="L47:L49" si="17">K47-(K47*0.05)</f>
        <v>2850</v>
      </c>
      <c r="M47" s="128">
        <v>2900</v>
      </c>
      <c r="N47" s="129">
        <f t="shared" ref="N47:N49" si="18">L47-J47</f>
        <v>1416.5</v>
      </c>
      <c r="O47" s="138">
        <f t="shared" ref="O47:O49" si="19">M47-L47</f>
        <v>50</v>
      </c>
      <c r="Q47" s="17"/>
      <c r="R47" s="154"/>
      <c r="S47" s="17"/>
      <c r="T47" s="17"/>
      <c r="U47" s="17"/>
      <c r="V47" s="1"/>
      <c r="W47" s="1"/>
      <c r="X47" s="1"/>
      <c r="Y47" s="1"/>
      <c r="Z47" s="1"/>
      <c r="AA47" s="1"/>
      <c r="AB47" s="1" t="s">
        <v>37</v>
      </c>
      <c r="AC47" s="20">
        <v>1433.5</v>
      </c>
      <c r="AD47" s="88">
        <v>3000</v>
      </c>
      <c r="AE47" s="20"/>
      <c r="AG47" s="1"/>
      <c r="AH47" s="1"/>
      <c r="AI47" s="1"/>
      <c r="AJ47" s="1"/>
      <c r="AK47" s="1"/>
      <c r="AL47" s="1"/>
      <c r="AM47" s="1"/>
      <c r="AN47" s="1" t="s">
        <v>37</v>
      </c>
      <c r="AO47" s="88">
        <v>1433.5</v>
      </c>
      <c r="AP47" s="20">
        <v>2250</v>
      </c>
      <c r="AQ47" s="16"/>
      <c r="AS47" s="1"/>
      <c r="AT47" s="1"/>
      <c r="AU47" s="1"/>
      <c r="AV47" s="1"/>
      <c r="AW47" s="1"/>
      <c r="AX47" s="1"/>
      <c r="AY47" s="1"/>
      <c r="AZ47" s="1" t="s">
        <v>37</v>
      </c>
      <c r="BA47" s="88">
        <v>0</v>
      </c>
      <c r="BB47" s="20">
        <v>628</v>
      </c>
    </row>
    <row r="48" spans="1:54" ht="14.85" customHeight="1" x14ac:dyDescent="0.25">
      <c r="A48" s="37"/>
      <c r="B48" s="1"/>
      <c r="C48" s="1"/>
      <c r="D48" s="1"/>
      <c r="E48" s="1"/>
      <c r="F48" s="1"/>
      <c r="G48" s="1" t="s">
        <v>38</v>
      </c>
      <c r="H48" s="69">
        <v>380.4</v>
      </c>
      <c r="I48" s="121">
        <v>191.23</v>
      </c>
      <c r="J48" s="119">
        <f t="shared" si="16"/>
        <v>571.63</v>
      </c>
      <c r="K48" s="61">
        <v>1000</v>
      </c>
      <c r="L48" s="128">
        <f t="shared" si="17"/>
        <v>950</v>
      </c>
      <c r="M48" s="128">
        <v>700</v>
      </c>
      <c r="N48" s="129">
        <f t="shared" si="18"/>
        <v>378.37</v>
      </c>
      <c r="O48" s="138">
        <f t="shared" si="19"/>
        <v>-250</v>
      </c>
      <c r="Q48" s="17"/>
      <c r="R48" s="154"/>
      <c r="S48" s="17"/>
      <c r="T48" s="17"/>
      <c r="U48" s="17"/>
      <c r="V48" s="1"/>
      <c r="W48" s="1"/>
      <c r="X48" s="1"/>
      <c r="Y48" s="1"/>
      <c r="Z48" s="1"/>
      <c r="AA48" s="1"/>
      <c r="AB48" s="1" t="s">
        <v>38</v>
      </c>
      <c r="AC48" s="20">
        <v>380.4</v>
      </c>
      <c r="AD48" s="88">
        <v>1000</v>
      </c>
      <c r="AE48" s="20"/>
      <c r="AG48" s="1"/>
      <c r="AH48" s="1"/>
      <c r="AI48" s="1"/>
      <c r="AJ48" s="1"/>
      <c r="AK48" s="1"/>
      <c r="AL48" s="1"/>
      <c r="AM48" s="1"/>
      <c r="AN48" s="1" t="s">
        <v>38</v>
      </c>
      <c r="AO48" s="88">
        <v>380.4</v>
      </c>
      <c r="AP48" s="20">
        <v>747</v>
      </c>
      <c r="AQ48" s="16"/>
      <c r="AS48" s="1"/>
      <c r="AT48" s="1"/>
      <c r="AU48" s="1"/>
      <c r="AV48" s="1"/>
      <c r="AW48" s="1"/>
      <c r="AX48" s="1"/>
      <c r="AY48" s="1"/>
      <c r="AZ48" s="1" t="s">
        <v>38</v>
      </c>
      <c r="BA48" s="88">
        <v>191.23</v>
      </c>
      <c r="BB48" s="20">
        <v>497</v>
      </c>
    </row>
    <row r="49" spans="1:54" ht="14.85" customHeight="1" thickBot="1" x14ac:dyDescent="0.3">
      <c r="A49" s="37"/>
      <c r="B49" s="1"/>
      <c r="C49" s="1"/>
      <c r="D49" s="1"/>
      <c r="E49" s="1"/>
      <c r="F49" s="1"/>
      <c r="G49" s="1" t="s">
        <v>39</v>
      </c>
      <c r="H49" s="70">
        <v>1016.21</v>
      </c>
      <c r="I49" s="123">
        <v>12</v>
      </c>
      <c r="J49" s="120">
        <f t="shared" si="16"/>
        <v>1028.21</v>
      </c>
      <c r="K49" s="62">
        <v>1500</v>
      </c>
      <c r="L49" s="127">
        <f t="shared" si="17"/>
        <v>1425</v>
      </c>
      <c r="M49" s="127">
        <v>1000</v>
      </c>
      <c r="N49" s="130">
        <f t="shared" si="18"/>
        <v>396.78999999999996</v>
      </c>
      <c r="O49" s="141">
        <f t="shared" si="19"/>
        <v>-425</v>
      </c>
      <c r="Q49" s="17"/>
      <c r="R49" s="154"/>
      <c r="S49" s="17"/>
      <c r="T49" s="17"/>
      <c r="U49" s="17"/>
      <c r="V49" s="1"/>
      <c r="W49" s="1"/>
      <c r="X49" s="1"/>
      <c r="Y49" s="1"/>
      <c r="Z49" s="1"/>
      <c r="AA49" s="1"/>
      <c r="AB49" s="1" t="s">
        <v>39</v>
      </c>
      <c r="AC49" s="39">
        <v>1016.21</v>
      </c>
      <c r="AD49" s="91">
        <v>1500</v>
      </c>
      <c r="AE49" s="20"/>
      <c r="AG49" s="1"/>
      <c r="AH49" s="1"/>
      <c r="AI49" s="1"/>
      <c r="AJ49" s="1"/>
      <c r="AK49" s="1"/>
      <c r="AL49" s="1"/>
      <c r="AM49" s="1"/>
      <c r="AN49" s="1" t="s">
        <v>39</v>
      </c>
      <c r="AO49" s="91">
        <v>1016.21</v>
      </c>
      <c r="AP49" s="39">
        <v>1125</v>
      </c>
      <c r="AQ49" s="16"/>
      <c r="AS49" s="1"/>
      <c r="AT49" s="1"/>
      <c r="AU49" s="1"/>
      <c r="AV49" s="1"/>
      <c r="AW49" s="1"/>
      <c r="AX49" s="1"/>
      <c r="AY49" s="1"/>
      <c r="AZ49" s="1" t="s">
        <v>39</v>
      </c>
      <c r="BA49" s="91">
        <v>12</v>
      </c>
      <c r="BB49" s="39">
        <v>375</v>
      </c>
    </row>
    <row r="50" spans="1:54" s="11" customFormat="1" ht="14.85" customHeight="1" x14ac:dyDescent="0.25">
      <c r="A50" s="37"/>
      <c r="B50" s="13"/>
      <c r="C50" s="13"/>
      <c r="D50" s="13"/>
      <c r="E50" s="13"/>
      <c r="F50" s="13" t="s">
        <v>40</v>
      </c>
      <c r="G50" s="13"/>
      <c r="H50" s="75">
        <f>ROUND(SUM(H46:H49),5)</f>
        <v>2830.11</v>
      </c>
      <c r="I50" s="75">
        <f t="shared" ref="I50:O50" si="20">ROUND(SUM(I46:I49),5)</f>
        <v>203.23</v>
      </c>
      <c r="J50" s="75">
        <f t="shared" si="20"/>
        <v>3033.34</v>
      </c>
      <c r="K50" s="75">
        <f t="shared" si="20"/>
        <v>5500</v>
      </c>
      <c r="L50" s="75">
        <f t="shared" si="20"/>
        <v>5225</v>
      </c>
      <c r="M50" s="75">
        <f t="shared" si="20"/>
        <v>4600</v>
      </c>
      <c r="N50" s="94">
        <f t="shared" si="20"/>
        <v>2191.66</v>
      </c>
      <c r="O50" s="142">
        <f t="shared" si="20"/>
        <v>-625</v>
      </c>
      <c r="Q50" s="17"/>
      <c r="R50" s="17"/>
      <c r="S50" s="17"/>
      <c r="T50" s="17"/>
      <c r="U50" s="17"/>
      <c r="V50" s="1"/>
      <c r="W50" s="1"/>
      <c r="X50" s="1"/>
      <c r="Y50" s="1"/>
      <c r="Z50" s="1"/>
      <c r="AA50" s="1" t="s">
        <v>40</v>
      </c>
      <c r="AB50" s="1"/>
      <c r="AC50" s="20">
        <f>ROUND(SUM(AC46:AC49),5)</f>
        <v>2830.11</v>
      </c>
      <c r="AD50" s="88">
        <f>ROUND(SUM(AD46:AD49),5)</f>
        <v>5500</v>
      </c>
      <c r="AE50" s="21"/>
      <c r="AG50" s="1"/>
      <c r="AH50" s="1"/>
      <c r="AI50" s="1"/>
      <c r="AJ50" s="1"/>
      <c r="AK50" s="1"/>
      <c r="AL50" s="1"/>
      <c r="AM50" s="1" t="s">
        <v>40</v>
      </c>
      <c r="AN50" s="1"/>
      <c r="AO50" s="88">
        <f>ROUND(SUM(AO46:AO49),5)</f>
        <v>2830.11</v>
      </c>
      <c r="AP50" s="20">
        <f>ROUND(SUM(AP46:AP49),5)</f>
        <v>4122</v>
      </c>
      <c r="AQ50" s="18"/>
      <c r="AS50" s="1"/>
      <c r="AT50" s="1"/>
      <c r="AU50" s="1"/>
      <c r="AV50" s="1"/>
      <c r="AW50" s="1"/>
      <c r="AX50" s="1"/>
      <c r="AY50" s="1" t="s">
        <v>40</v>
      </c>
      <c r="AZ50" s="1"/>
      <c r="BA50" s="88">
        <f>ROUND(SUM(BA46:BA49),5)</f>
        <v>203.23</v>
      </c>
      <c r="BB50" s="20">
        <f>ROUND(SUM(BB46:BB49),5)</f>
        <v>1500</v>
      </c>
    </row>
    <row r="51" spans="1:54" ht="14.85" customHeight="1" x14ac:dyDescent="0.25">
      <c r="A51" s="37"/>
      <c r="B51" s="1"/>
      <c r="C51" s="1"/>
      <c r="D51" s="1"/>
      <c r="E51" s="1"/>
      <c r="F51" s="1" t="s">
        <v>41</v>
      </c>
      <c r="G51" s="1"/>
      <c r="H51" s="60"/>
      <c r="I51" s="60"/>
      <c r="J51" s="60"/>
      <c r="K51" s="60"/>
      <c r="L51" s="60"/>
      <c r="M51" s="60"/>
      <c r="N51" s="95"/>
      <c r="O51" s="140"/>
      <c r="Q51" s="17"/>
      <c r="R51" s="17"/>
      <c r="S51" s="17"/>
      <c r="T51" s="17"/>
      <c r="U51" s="17"/>
      <c r="V51" s="1"/>
      <c r="W51" s="1"/>
      <c r="X51" s="1"/>
      <c r="Y51" s="1"/>
      <c r="Z51" s="1"/>
      <c r="AA51" s="1" t="s">
        <v>41</v>
      </c>
      <c r="AB51" s="1"/>
      <c r="AC51" s="20"/>
      <c r="AD51" s="88"/>
      <c r="AE51" s="20"/>
      <c r="AG51" s="1"/>
      <c r="AH51" s="1"/>
      <c r="AI51" s="1"/>
      <c r="AJ51" s="1"/>
      <c r="AK51" s="1"/>
      <c r="AL51" s="1"/>
      <c r="AM51" s="1" t="s">
        <v>41</v>
      </c>
      <c r="AN51" s="1"/>
      <c r="AO51" s="88"/>
      <c r="AP51" s="20"/>
      <c r="AQ51" s="16"/>
      <c r="AS51" s="1"/>
      <c r="AT51" s="1"/>
      <c r="AU51" s="1"/>
      <c r="AV51" s="1"/>
      <c r="AW51" s="1"/>
      <c r="AX51" s="1"/>
      <c r="AY51" s="1" t="s">
        <v>41</v>
      </c>
      <c r="AZ51" s="1"/>
      <c r="BA51" s="88"/>
      <c r="BB51" s="20"/>
    </row>
    <row r="52" spans="1:54" ht="14.85" customHeight="1" x14ac:dyDescent="0.25">
      <c r="A52" s="37"/>
      <c r="B52" s="1"/>
      <c r="C52" s="1"/>
      <c r="D52" s="1"/>
      <c r="E52" s="1"/>
      <c r="F52" s="1"/>
      <c r="G52" s="1" t="s">
        <v>42</v>
      </c>
      <c r="H52" s="69">
        <v>772.24</v>
      </c>
      <c r="I52" s="121">
        <v>302.17</v>
      </c>
      <c r="J52" s="119">
        <f t="shared" ref="J52:J59" si="21">SUM(H52:I52)</f>
        <v>1074.4100000000001</v>
      </c>
      <c r="K52" s="61">
        <v>1500</v>
      </c>
      <c r="L52" s="128">
        <f t="shared" ref="L52:L59" si="22">K52-(K52*0.05)</f>
        <v>1425</v>
      </c>
      <c r="M52" s="128">
        <v>1200</v>
      </c>
      <c r="N52" s="129">
        <f t="shared" ref="N52:N59" si="23">L52-J52</f>
        <v>350.58999999999992</v>
      </c>
      <c r="O52" s="138">
        <f t="shared" ref="O52:O59" si="24">M52-L52</f>
        <v>-225</v>
      </c>
      <c r="Q52" s="17"/>
      <c r="R52" s="154"/>
      <c r="S52" s="17"/>
      <c r="T52" s="17"/>
      <c r="U52" s="17"/>
      <c r="V52" s="1"/>
      <c r="W52" s="1"/>
      <c r="X52" s="1"/>
      <c r="Y52" s="1"/>
      <c r="Z52" s="1"/>
      <c r="AA52" s="1"/>
      <c r="AB52" s="1" t="s">
        <v>42</v>
      </c>
      <c r="AC52" s="20">
        <v>772.24</v>
      </c>
      <c r="AD52" s="88">
        <v>1500</v>
      </c>
      <c r="AE52" s="20"/>
      <c r="AG52" s="1"/>
      <c r="AH52" s="1"/>
      <c r="AI52" s="1"/>
      <c r="AJ52" s="1"/>
      <c r="AK52" s="1"/>
      <c r="AL52" s="1"/>
      <c r="AM52" s="1"/>
      <c r="AN52" s="1" t="s">
        <v>42</v>
      </c>
      <c r="AO52" s="88">
        <v>772.24</v>
      </c>
      <c r="AP52" s="20">
        <v>1125</v>
      </c>
      <c r="AQ52" s="16"/>
      <c r="AS52" s="1"/>
      <c r="AT52" s="1"/>
      <c r="AU52" s="1"/>
      <c r="AV52" s="1"/>
      <c r="AW52" s="1"/>
      <c r="AX52" s="1"/>
      <c r="AY52" s="1"/>
      <c r="AZ52" s="1" t="s">
        <v>42</v>
      </c>
      <c r="BA52" s="88">
        <v>302.17</v>
      </c>
      <c r="BB52" s="20">
        <v>614</v>
      </c>
    </row>
    <row r="53" spans="1:54" ht="14.85" customHeight="1" x14ac:dyDescent="0.25">
      <c r="A53" s="37"/>
      <c r="B53" s="1"/>
      <c r="C53" s="1"/>
      <c r="D53" s="1"/>
      <c r="E53" s="1"/>
      <c r="F53" s="1"/>
      <c r="G53" s="1" t="s">
        <v>123</v>
      </c>
      <c r="H53" s="69">
        <v>480.32</v>
      </c>
      <c r="I53" s="121">
        <v>150</v>
      </c>
      <c r="J53" s="119">
        <f t="shared" si="21"/>
        <v>630.31999999999994</v>
      </c>
      <c r="K53" s="61">
        <v>1000</v>
      </c>
      <c r="L53" s="128">
        <f t="shared" si="22"/>
        <v>950</v>
      </c>
      <c r="M53" s="128">
        <v>950</v>
      </c>
      <c r="N53" s="129">
        <f t="shared" si="23"/>
        <v>319.68000000000006</v>
      </c>
      <c r="O53" s="138">
        <f t="shared" si="24"/>
        <v>0</v>
      </c>
      <c r="Q53" s="17"/>
      <c r="R53" s="154"/>
      <c r="S53" s="17"/>
      <c r="T53" s="17"/>
      <c r="U53" s="17"/>
      <c r="V53" s="1"/>
      <c r="W53" s="1"/>
      <c r="X53" s="1"/>
      <c r="Y53" s="1"/>
      <c r="Z53" s="1"/>
      <c r="AA53" s="1"/>
      <c r="AB53" s="1" t="s">
        <v>123</v>
      </c>
      <c r="AC53" s="20">
        <v>480.32</v>
      </c>
      <c r="AD53" s="88">
        <v>1000</v>
      </c>
      <c r="AE53" s="20"/>
      <c r="AG53" s="1"/>
      <c r="AH53" s="1"/>
      <c r="AI53" s="1"/>
      <c r="AJ53" s="1"/>
      <c r="AK53" s="1"/>
      <c r="AL53" s="1"/>
      <c r="AM53" s="1"/>
      <c r="AN53" s="1" t="s">
        <v>123</v>
      </c>
      <c r="AO53" s="88">
        <v>480.32</v>
      </c>
      <c r="AP53" s="20">
        <v>747</v>
      </c>
      <c r="AQ53" s="16"/>
      <c r="AS53" s="1"/>
      <c r="AT53" s="1"/>
      <c r="AU53" s="1"/>
      <c r="AV53" s="1"/>
      <c r="AW53" s="1"/>
      <c r="AX53" s="1"/>
      <c r="AY53" s="1"/>
      <c r="AZ53" s="1" t="s">
        <v>123</v>
      </c>
      <c r="BA53" s="88">
        <v>150</v>
      </c>
      <c r="BB53" s="20">
        <v>178</v>
      </c>
    </row>
    <row r="54" spans="1:54" ht="14.85" customHeight="1" x14ac:dyDescent="0.25">
      <c r="A54" s="37"/>
      <c r="B54" s="1"/>
      <c r="C54" s="1"/>
      <c r="D54" s="1"/>
      <c r="E54" s="1"/>
      <c r="F54" s="1"/>
      <c r="G54" s="1" t="s">
        <v>43</v>
      </c>
      <c r="H54" s="69">
        <v>1480.06</v>
      </c>
      <c r="I54" s="121">
        <v>344.99</v>
      </c>
      <c r="J54" s="119">
        <f t="shared" si="21"/>
        <v>1825.05</v>
      </c>
      <c r="K54" s="61">
        <v>2300</v>
      </c>
      <c r="L54" s="128">
        <f t="shared" si="22"/>
        <v>2185</v>
      </c>
      <c r="M54" s="128">
        <f>2185+2000</f>
        <v>4185</v>
      </c>
      <c r="N54" s="129">
        <f t="shared" si="23"/>
        <v>359.95000000000005</v>
      </c>
      <c r="O54" s="138">
        <f t="shared" si="24"/>
        <v>2000</v>
      </c>
      <c r="P54" t="s">
        <v>180</v>
      </c>
      <c r="Q54" s="17"/>
      <c r="R54" s="154"/>
      <c r="S54" s="17"/>
      <c r="T54" s="17"/>
      <c r="U54" s="17"/>
      <c r="V54" s="1"/>
      <c r="W54" s="1"/>
      <c r="X54" s="1"/>
      <c r="Y54" s="1"/>
      <c r="Z54" s="1"/>
      <c r="AA54" s="1"/>
      <c r="AB54" s="1" t="s">
        <v>43</v>
      </c>
      <c r="AC54" s="20">
        <v>1480.06</v>
      </c>
      <c r="AD54" s="88">
        <v>2300</v>
      </c>
      <c r="AE54" s="20"/>
      <c r="AG54" s="1"/>
      <c r="AH54" s="1"/>
      <c r="AI54" s="1"/>
      <c r="AJ54" s="1"/>
      <c r="AK54" s="1"/>
      <c r="AL54" s="1"/>
      <c r="AM54" s="1"/>
      <c r="AN54" s="1" t="s">
        <v>43</v>
      </c>
      <c r="AO54" s="88">
        <v>1480.06</v>
      </c>
      <c r="AP54" s="20">
        <v>1728</v>
      </c>
      <c r="AQ54" s="16"/>
      <c r="AS54" s="1"/>
      <c r="AT54" s="1"/>
      <c r="AU54" s="1"/>
      <c r="AV54" s="1"/>
      <c r="AW54" s="1"/>
      <c r="AX54" s="1"/>
      <c r="AY54" s="1"/>
      <c r="AZ54" s="1" t="s">
        <v>43</v>
      </c>
      <c r="BA54" s="88">
        <v>344.99</v>
      </c>
      <c r="BB54" s="20">
        <v>572</v>
      </c>
    </row>
    <row r="55" spans="1:54" ht="14.85" customHeight="1" x14ac:dyDescent="0.25">
      <c r="A55" s="37"/>
      <c r="B55" s="1"/>
      <c r="C55" s="1"/>
      <c r="D55" s="1"/>
      <c r="E55" s="1"/>
      <c r="F55" s="1"/>
      <c r="G55" s="1" t="s">
        <v>44</v>
      </c>
      <c r="H55" s="69">
        <v>140.58000000000001</v>
      </c>
      <c r="I55" s="121">
        <v>24.72</v>
      </c>
      <c r="J55" s="119">
        <f t="shared" si="21"/>
        <v>165.3</v>
      </c>
      <c r="K55" s="61">
        <v>500</v>
      </c>
      <c r="L55" s="128">
        <f t="shared" si="22"/>
        <v>475</v>
      </c>
      <c r="M55" s="128">
        <v>500</v>
      </c>
      <c r="N55" s="129">
        <f t="shared" si="23"/>
        <v>309.7</v>
      </c>
      <c r="O55" s="138">
        <f t="shared" si="24"/>
        <v>25</v>
      </c>
      <c r="Q55" s="17"/>
      <c r="R55" s="154"/>
      <c r="S55" s="17"/>
      <c r="T55" s="17"/>
      <c r="U55" s="17"/>
      <c r="V55" s="1"/>
      <c r="W55" s="1"/>
      <c r="X55" s="1"/>
      <c r="Y55" s="1"/>
      <c r="Z55" s="1"/>
      <c r="AA55" s="1"/>
      <c r="AB55" s="1" t="s">
        <v>44</v>
      </c>
      <c r="AC55" s="20">
        <v>140.58000000000001</v>
      </c>
      <c r="AD55" s="88">
        <v>500</v>
      </c>
      <c r="AE55" s="20"/>
      <c r="AG55" s="1"/>
      <c r="AH55" s="1"/>
      <c r="AI55" s="1"/>
      <c r="AJ55" s="1"/>
      <c r="AK55" s="1"/>
      <c r="AL55" s="1"/>
      <c r="AM55" s="1"/>
      <c r="AN55" s="1" t="s">
        <v>44</v>
      </c>
      <c r="AO55" s="88">
        <v>140.58000000000001</v>
      </c>
      <c r="AP55" s="20">
        <v>378</v>
      </c>
      <c r="AQ55" s="16"/>
      <c r="AS55" s="1"/>
      <c r="AT55" s="1"/>
      <c r="AU55" s="1"/>
      <c r="AV55" s="1"/>
      <c r="AW55" s="1"/>
      <c r="AX55" s="1"/>
      <c r="AY55" s="1"/>
      <c r="AZ55" s="1" t="s">
        <v>44</v>
      </c>
      <c r="BA55" s="88">
        <v>24.72</v>
      </c>
      <c r="BB55" s="20">
        <v>122</v>
      </c>
    </row>
    <row r="56" spans="1:54" ht="14.85" customHeight="1" x14ac:dyDescent="0.25">
      <c r="A56" s="37"/>
      <c r="B56" s="1"/>
      <c r="C56" s="1"/>
      <c r="D56" s="1"/>
      <c r="E56" s="1"/>
      <c r="F56" s="1"/>
      <c r="G56" s="1" t="s">
        <v>45</v>
      </c>
      <c r="H56" s="69">
        <v>938.01</v>
      </c>
      <c r="I56" s="121">
        <v>884.35</v>
      </c>
      <c r="J56" s="119">
        <f t="shared" si="21"/>
        <v>1822.3600000000001</v>
      </c>
      <c r="K56" s="61">
        <v>1000</v>
      </c>
      <c r="L56" s="128">
        <f t="shared" si="22"/>
        <v>950</v>
      </c>
      <c r="M56" s="128">
        <v>2000</v>
      </c>
      <c r="N56" s="129">
        <f t="shared" si="23"/>
        <v>-872.36000000000013</v>
      </c>
      <c r="O56" s="138">
        <f t="shared" si="24"/>
        <v>1050</v>
      </c>
      <c r="Q56" s="17"/>
      <c r="R56" s="154"/>
      <c r="S56" s="17"/>
      <c r="T56" s="17"/>
      <c r="U56" s="17"/>
      <c r="V56" s="1"/>
      <c r="W56" s="1"/>
      <c r="X56" s="1"/>
      <c r="Y56" s="1"/>
      <c r="Z56" s="1"/>
      <c r="AA56" s="1"/>
      <c r="AB56" s="1" t="s">
        <v>45</v>
      </c>
      <c r="AC56" s="20">
        <v>945.4</v>
      </c>
      <c r="AD56" s="88">
        <v>1000</v>
      </c>
      <c r="AE56" s="20"/>
      <c r="AG56" s="1"/>
      <c r="AH56" s="1"/>
      <c r="AI56" s="1"/>
      <c r="AJ56" s="1"/>
      <c r="AK56" s="1"/>
      <c r="AL56" s="1"/>
      <c r="AM56" s="1"/>
      <c r="AN56" s="1" t="s">
        <v>45</v>
      </c>
      <c r="AO56" s="88">
        <v>938.01</v>
      </c>
      <c r="AP56" s="20">
        <v>747</v>
      </c>
      <c r="AQ56" s="16"/>
      <c r="AS56" s="1"/>
      <c r="AT56" s="1"/>
      <c r="AU56" s="1"/>
      <c r="AV56" s="1"/>
      <c r="AW56" s="1"/>
      <c r="AX56" s="1"/>
      <c r="AY56" s="1"/>
      <c r="AZ56" s="1" t="s">
        <v>45</v>
      </c>
      <c r="BA56" s="88">
        <v>884.35</v>
      </c>
      <c r="BB56" s="20">
        <v>587</v>
      </c>
    </row>
    <row r="57" spans="1:54" ht="14.85" customHeight="1" x14ac:dyDescent="0.25">
      <c r="A57" s="37"/>
      <c r="B57" s="1"/>
      <c r="C57" s="1"/>
      <c r="D57" s="1"/>
      <c r="E57" s="1"/>
      <c r="F57" s="1"/>
      <c r="G57" s="1" t="s">
        <v>173</v>
      </c>
      <c r="H57" s="69"/>
      <c r="I57" s="121"/>
      <c r="J57" s="119"/>
      <c r="K57" s="61"/>
      <c r="L57" s="128"/>
      <c r="M57" s="128">
        <v>1200</v>
      </c>
      <c r="N57" s="129"/>
      <c r="O57" s="138"/>
      <c r="Q57" s="17"/>
      <c r="R57" s="154"/>
      <c r="S57" s="17"/>
      <c r="T57" s="17"/>
      <c r="U57" s="17"/>
      <c r="V57" s="1"/>
      <c r="W57" s="1"/>
      <c r="X57" s="1"/>
      <c r="Y57" s="1"/>
      <c r="Z57" s="1"/>
      <c r="AA57" s="1"/>
      <c r="AB57" s="1"/>
      <c r="AC57" s="20"/>
      <c r="AD57" s="88"/>
      <c r="AE57" s="20"/>
      <c r="AG57" s="1"/>
      <c r="AH57" s="1"/>
      <c r="AI57" s="1"/>
      <c r="AJ57" s="1"/>
      <c r="AK57" s="1"/>
      <c r="AL57" s="1"/>
      <c r="AM57" s="1"/>
      <c r="AN57" s="1"/>
      <c r="AO57" s="88"/>
      <c r="AP57" s="20"/>
      <c r="AQ57" s="16"/>
      <c r="AS57" s="1"/>
      <c r="AT57" s="1"/>
      <c r="AU57" s="1"/>
      <c r="AV57" s="1"/>
      <c r="AW57" s="1"/>
      <c r="AX57" s="1"/>
      <c r="AY57" s="1"/>
      <c r="AZ57" s="1"/>
      <c r="BA57" s="88"/>
      <c r="BB57" s="20"/>
    </row>
    <row r="58" spans="1:54" ht="14.85" customHeight="1" x14ac:dyDescent="0.25">
      <c r="A58" s="37"/>
      <c r="B58" s="1"/>
      <c r="C58" s="1"/>
      <c r="D58" s="1"/>
      <c r="E58" s="1"/>
      <c r="F58" s="1"/>
      <c r="G58" s="17" t="s">
        <v>46</v>
      </c>
      <c r="H58" s="69">
        <v>332.81</v>
      </c>
      <c r="I58" s="121">
        <v>232</v>
      </c>
      <c r="J58" s="119">
        <f t="shared" si="21"/>
        <v>564.80999999999995</v>
      </c>
      <c r="K58" s="61">
        <v>800</v>
      </c>
      <c r="L58" s="128">
        <f t="shared" si="22"/>
        <v>760</v>
      </c>
      <c r="M58" s="128">
        <v>760</v>
      </c>
      <c r="N58" s="129">
        <f t="shared" si="23"/>
        <v>195.19000000000005</v>
      </c>
      <c r="O58" s="138">
        <f t="shared" si="24"/>
        <v>0</v>
      </c>
      <c r="Q58" s="17"/>
      <c r="R58" s="154"/>
      <c r="S58" s="17"/>
      <c r="T58" s="17"/>
      <c r="U58" s="17"/>
      <c r="V58" s="1"/>
      <c r="W58" s="1"/>
      <c r="X58" s="1"/>
      <c r="Y58" s="1"/>
      <c r="Z58" s="1"/>
      <c r="AA58" s="1"/>
      <c r="AB58" s="1" t="s">
        <v>46</v>
      </c>
      <c r="AC58" s="20">
        <v>332.81</v>
      </c>
      <c r="AD58" s="88">
        <v>800</v>
      </c>
      <c r="AE58" s="20"/>
      <c r="AG58" s="1"/>
      <c r="AH58" s="1"/>
      <c r="AI58" s="1"/>
      <c r="AJ58" s="1"/>
      <c r="AK58" s="1"/>
      <c r="AL58" s="1"/>
      <c r="AM58" s="1"/>
      <c r="AN58" s="1" t="s">
        <v>46</v>
      </c>
      <c r="AO58" s="88">
        <v>332.81</v>
      </c>
      <c r="AP58" s="20">
        <v>603</v>
      </c>
      <c r="AQ58" s="16"/>
      <c r="AS58" s="1"/>
      <c r="AT58" s="1"/>
      <c r="AU58" s="1"/>
      <c r="AV58" s="1"/>
      <c r="AW58" s="1"/>
      <c r="AX58" s="1"/>
      <c r="AY58" s="1"/>
      <c r="AZ58" s="1" t="s">
        <v>46</v>
      </c>
      <c r="BA58" s="88">
        <v>232</v>
      </c>
      <c r="BB58" s="20">
        <v>253</v>
      </c>
    </row>
    <row r="59" spans="1:54" ht="14.85" customHeight="1" thickBot="1" x14ac:dyDescent="0.3">
      <c r="A59" s="37"/>
      <c r="B59" s="1"/>
      <c r="C59" s="1"/>
      <c r="D59" s="1"/>
      <c r="E59" s="1"/>
      <c r="F59" s="1"/>
      <c r="G59" s="1" t="s">
        <v>110</v>
      </c>
      <c r="H59" s="70">
        <v>4779.6400000000003</v>
      </c>
      <c r="I59" s="123">
        <v>186.78</v>
      </c>
      <c r="J59" s="120">
        <f t="shared" si="21"/>
        <v>4966.42</v>
      </c>
      <c r="K59" s="62">
        <v>750</v>
      </c>
      <c r="L59" s="127">
        <f t="shared" si="22"/>
        <v>712.5</v>
      </c>
      <c r="M59" s="127">
        <v>780</v>
      </c>
      <c r="N59" s="130">
        <f t="shared" si="23"/>
        <v>-4253.92</v>
      </c>
      <c r="O59" s="141">
        <f t="shared" si="24"/>
        <v>67.5</v>
      </c>
      <c r="Q59" s="17"/>
      <c r="R59" s="154"/>
      <c r="S59" s="17"/>
      <c r="T59" s="17"/>
      <c r="U59" s="17"/>
      <c r="V59" s="1"/>
      <c r="W59" s="1"/>
      <c r="X59" s="1"/>
      <c r="Y59" s="1"/>
      <c r="Z59" s="1"/>
      <c r="AA59" s="1"/>
      <c r="AB59" s="1" t="s">
        <v>124</v>
      </c>
      <c r="AC59" s="39">
        <v>4779.6400000000003</v>
      </c>
      <c r="AD59" s="91">
        <v>750</v>
      </c>
      <c r="AE59" s="20"/>
      <c r="AG59" s="1"/>
      <c r="AH59" s="1"/>
      <c r="AI59" s="1"/>
      <c r="AJ59" s="1"/>
      <c r="AK59" s="1"/>
      <c r="AL59" s="1"/>
      <c r="AM59" s="1"/>
      <c r="AN59" s="1" t="s">
        <v>124</v>
      </c>
      <c r="AO59" s="91">
        <v>4779.6400000000003</v>
      </c>
      <c r="AP59" s="39">
        <v>558</v>
      </c>
      <c r="AQ59" s="16"/>
      <c r="AS59" s="1"/>
      <c r="AT59" s="1"/>
      <c r="AU59" s="1"/>
      <c r="AV59" s="1"/>
      <c r="AW59" s="1"/>
      <c r="AX59" s="1"/>
      <c r="AY59" s="1"/>
      <c r="AZ59" s="1" t="s">
        <v>124</v>
      </c>
      <c r="BA59" s="91">
        <v>186.78</v>
      </c>
      <c r="BB59" s="39">
        <v>178</v>
      </c>
    </row>
    <row r="60" spans="1:54" s="11" customFormat="1" ht="14.85" customHeight="1" x14ac:dyDescent="0.25">
      <c r="A60" s="37"/>
      <c r="B60" s="13"/>
      <c r="C60" s="13"/>
      <c r="D60" s="13"/>
      <c r="E60" s="13"/>
      <c r="F60" s="13" t="s">
        <v>47</v>
      </c>
      <c r="G60" s="13"/>
      <c r="H60" s="75">
        <f t="shared" ref="H60:O60" si="25">ROUND(SUM(H51:H59),5)</f>
        <v>8923.66</v>
      </c>
      <c r="I60" s="75">
        <f t="shared" si="25"/>
        <v>2125.0100000000002</v>
      </c>
      <c r="J60" s="75">
        <f t="shared" si="25"/>
        <v>11048.67</v>
      </c>
      <c r="K60" s="75">
        <f t="shared" si="25"/>
        <v>7850</v>
      </c>
      <c r="L60" s="75">
        <f t="shared" si="25"/>
        <v>7457.5</v>
      </c>
      <c r="M60" s="75">
        <f t="shared" si="25"/>
        <v>11575</v>
      </c>
      <c r="N60" s="94">
        <f t="shared" si="25"/>
        <v>-3591.17</v>
      </c>
      <c r="O60" s="142">
        <f t="shared" si="25"/>
        <v>2917.5</v>
      </c>
      <c r="Q60" s="17"/>
      <c r="R60" s="17"/>
      <c r="S60" s="17"/>
      <c r="T60" s="17"/>
      <c r="U60" s="17"/>
      <c r="V60" s="1"/>
      <c r="W60" s="1"/>
      <c r="X60" s="1"/>
      <c r="Y60" s="1"/>
      <c r="Z60" s="1"/>
      <c r="AA60" s="1" t="s">
        <v>47</v>
      </c>
      <c r="AB60" s="1"/>
      <c r="AC60" s="20">
        <f>ROUND(SUM(AC51:AC59),5)</f>
        <v>8931.0499999999993</v>
      </c>
      <c r="AD60" s="88">
        <f>ROUND(SUM(AD51:AD59),5)</f>
        <v>7850</v>
      </c>
      <c r="AE60" s="21"/>
      <c r="AG60" s="1"/>
      <c r="AH60" s="1"/>
      <c r="AI60" s="1"/>
      <c r="AJ60" s="1"/>
      <c r="AK60" s="1"/>
      <c r="AL60" s="1"/>
      <c r="AM60" s="1" t="s">
        <v>47</v>
      </c>
      <c r="AN60" s="1"/>
      <c r="AO60" s="88">
        <f>ROUND(SUM(AO51:AO59),5)</f>
        <v>8923.66</v>
      </c>
      <c r="AP60" s="20">
        <f>ROUND(SUM(AP51:AP59),5)</f>
        <v>5886</v>
      </c>
      <c r="AQ60" s="18"/>
      <c r="AS60" s="1"/>
      <c r="AT60" s="1"/>
      <c r="AU60" s="1"/>
      <c r="AV60" s="1"/>
      <c r="AW60" s="1"/>
      <c r="AX60" s="1"/>
      <c r="AY60" s="1" t="s">
        <v>47</v>
      </c>
      <c r="AZ60" s="1"/>
      <c r="BA60" s="88">
        <f>ROUND(SUM(BA51:BA59),5)</f>
        <v>2125.0100000000002</v>
      </c>
      <c r="BB60" s="20">
        <f>ROUND(SUM(BB51:BB59),5)</f>
        <v>2504</v>
      </c>
    </row>
    <row r="61" spans="1:54" ht="14.85" customHeight="1" x14ac:dyDescent="0.25">
      <c r="A61" s="37"/>
      <c r="B61" s="1"/>
      <c r="C61" s="1"/>
      <c r="D61" s="1"/>
      <c r="E61" s="1"/>
      <c r="F61" s="1" t="s">
        <v>48</v>
      </c>
      <c r="G61" s="1"/>
      <c r="H61" s="60"/>
      <c r="I61" s="60"/>
      <c r="J61" s="60"/>
      <c r="K61" s="60"/>
      <c r="L61" s="60"/>
      <c r="M61" s="60"/>
      <c r="N61" s="95"/>
      <c r="O61" s="140"/>
      <c r="Q61" s="17"/>
      <c r="R61" s="17"/>
      <c r="S61" s="17"/>
      <c r="T61" s="17"/>
      <c r="U61" s="17"/>
      <c r="V61" s="1"/>
      <c r="W61" s="1"/>
      <c r="X61" s="1"/>
      <c r="Y61" s="1"/>
      <c r="Z61" s="1"/>
      <c r="AA61" s="1" t="s">
        <v>48</v>
      </c>
      <c r="AB61" s="1"/>
      <c r="AC61" s="20"/>
      <c r="AD61" s="88"/>
      <c r="AE61" s="20"/>
      <c r="AG61" s="1"/>
      <c r="AH61" s="1"/>
      <c r="AI61" s="1"/>
      <c r="AJ61" s="1"/>
      <c r="AK61" s="1"/>
      <c r="AL61" s="1"/>
      <c r="AM61" s="1" t="s">
        <v>48</v>
      </c>
      <c r="AN61" s="1"/>
      <c r="AO61" s="88"/>
      <c r="AP61" s="20"/>
      <c r="AQ61" s="16"/>
      <c r="AS61" s="1"/>
      <c r="AT61" s="1"/>
      <c r="AU61" s="1"/>
      <c r="AV61" s="1"/>
      <c r="AW61" s="1"/>
      <c r="AX61" s="1"/>
      <c r="AY61" s="1" t="s">
        <v>48</v>
      </c>
      <c r="AZ61" s="1"/>
      <c r="BA61" s="88"/>
      <c r="BB61" s="20"/>
    </row>
    <row r="62" spans="1:54" ht="14.85" customHeight="1" x14ac:dyDescent="0.25">
      <c r="A62" s="37"/>
      <c r="B62" s="1"/>
      <c r="C62" s="1"/>
      <c r="D62" s="1"/>
      <c r="E62" s="1"/>
      <c r="F62" s="1"/>
      <c r="G62" s="1" t="s">
        <v>49</v>
      </c>
      <c r="H62" s="69">
        <v>53398.35</v>
      </c>
      <c r="I62" s="121">
        <v>17799.45</v>
      </c>
      <c r="J62" s="119">
        <f t="shared" ref="J62:J64" si="26">SUM(H62:I62)</f>
        <v>71197.8</v>
      </c>
      <c r="K62" s="61">
        <v>71198</v>
      </c>
      <c r="L62" s="128">
        <f t="shared" ref="L62:L64" si="27">K62-(K62*0.05)</f>
        <v>67638.100000000006</v>
      </c>
      <c r="M62" s="128">
        <v>71198</v>
      </c>
      <c r="N62" s="129">
        <f t="shared" ref="N62:N64" si="28">L62-J62</f>
        <v>-3559.6999999999971</v>
      </c>
      <c r="O62" s="138">
        <f t="shared" ref="O62:O64" si="29">M62-L62</f>
        <v>3559.8999999999942</v>
      </c>
      <c r="Q62" s="17"/>
      <c r="R62" s="17"/>
      <c r="S62" s="17"/>
      <c r="T62" s="17"/>
      <c r="U62" s="17"/>
      <c r="V62" s="1"/>
      <c r="W62" s="1"/>
      <c r="X62" s="1"/>
      <c r="Y62" s="1"/>
      <c r="Z62" s="1"/>
      <c r="AA62" s="1"/>
      <c r="AB62" s="1" t="s">
        <v>49</v>
      </c>
      <c r="AC62" s="20">
        <v>13607.05</v>
      </c>
      <c r="AD62" s="88">
        <v>71198</v>
      </c>
      <c r="AE62" s="20"/>
      <c r="AG62" s="1"/>
      <c r="AH62" s="1"/>
      <c r="AI62" s="1"/>
      <c r="AJ62" s="1"/>
      <c r="AK62" s="1"/>
      <c r="AL62" s="1"/>
      <c r="AM62" s="1"/>
      <c r="AN62" s="1" t="s">
        <v>49</v>
      </c>
      <c r="AO62" s="88">
        <v>13607.05</v>
      </c>
      <c r="AP62" s="20">
        <v>53397</v>
      </c>
      <c r="AQ62" s="16"/>
      <c r="AS62" s="1"/>
      <c r="AT62" s="1"/>
      <c r="AU62" s="1"/>
      <c r="AV62" s="1"/>
      <c r="AW62" s="1"/>
      <c r="AX62" s="1"/>
      <c r="AY62" s="1"/>
      <c r="AZ62" s="1" t="s">
        <v>49</v>
      </c>
      <c r="BA62" s="88">
        <v>4765.22</v>
      </c>
      <c r="BB62" s="20">
        <v>17801</v>
      </c>
    </row>
    <row r="63" spans="1:54" ht="14.85" customHeight="1" thickBot="1" x14ac:dyDescent="0.3">
      <c r="A63" s="37"/>
      <c r="B63" s="1"/>
      <c r="C63" s="1"/>
      <c r="D63" s="1"/>
      <c r="E63" s="1"/>
      <c r="F63" s="1"/>
      <c r="G63" s="1" t="s">
        <v>120</v>
      </c>
      <c r="H63" s="156"/>
      <c r="I63" s="121"/>
      <c r="J63" s="119"/>
      <c r="K63" s="61"/>
      <c r="L63" s="128"/>
      <c r="M63" s="128"/>
      <c r="N63" s="129"/>
      <c r="O63" s="138"/>
      <c r="Q63" s="17"/>
      <c r="R63" s="17"/>
      <c r="S63" s="17"/>
      <c r="T63" s="17"/>
      <c r="U63" s="17"/>
      <c r="V63" s="1"/>
      <c r="W63" s="1"/>
      <c r="X63" s="1"/>
      <c r="Y63" s="1"/>
      <c r="Z63" s="1"/>
      <c r="AA63" s="1"/>
      <c r="AB63" s="1" t="s">
        <v>125</v>
      </c>
      <c r="AC63" s="20">
        <v>78.39</v>
      </c>
      <c r="AD63" s="88">
        <v>600</v>
      </c>
      <c r="AE63" s="20"/>
      <c r="AG63" s="1"/>
      <c r="AH63" s="1"/>
      <c r="AI63" s="1"/>
      <c r="AJ63" s="1"/>
      <c r="AK63" s="1"/>
      <c r="AL63" s="1"/>
      <c r="AM63" s="1"/>
      <c r="AN63" s="1" t="s">
        <v>125</v>
      </c>
      <c r="AO63" s="88">
        <v>78.39</v>
      </c>
      <c r="AP63" s="20">
        <v>450</v>
      </c>
      <c r="AQ63" s="16"/>
      <c r="AS63" s="1"/>
      <c r="AT63" s="1"/>
      <c r="AU63" s="1"/>
      <c r="AV63" s="1"/>
      <c r="AW63" s="1"/>
      <c r="AX63" s="1"/>
      <c r="AY63" s="1"/>
      <c r="AZ63" s="1" t="s">
        <v>125</v>
      </c>
      <c r="BA63" s="88">
        <v>90.5</v>
      </c>
      <c r="BB63" s="20">
        <v>192</v>
      </c>
    </row>
    <row r="64" spans="1:54" ht="14.85" customHeight="1" thickBot="1" x14ac:dyDescent="0.3">
      <c r="A64" s="37"/>
      <c r="B64" s="1"/>
      <c r="C64" s="1"/>
      <c r="D64" s="1"/>
      <c r="E64" s="1"/>
      <c r="F64" s="1"/>
      <c r="G64" s="1" t="s">
        <v>118</v>
      </c>
      <c r="H64" s="69">
        <v>78.39</v>
      </c>
      <c r="I64" s="121">
        <v>90.5</v>
      </c>
      <c r="J64" s="119">
        <f t="shared" si="26"/>
        <v>168.89</v>
      </c>
      <c r="K64" s="61">
        <v>600</v>
      </c>
      <c r="L64" s="127">
        <f t="shared" si="27"/>
        <v>570</v>
      </c>
      <c r="M64" s="127">
        <v>700</v>
      </c>
      <c r="N64" s="130">
        <f t="shared" si="28"/>
        <v>401.11</v>
      </c>
      <c r="O64" s="141">
        <f t="shared" si="29"/>
        <v>130</v>
      </c>
      <c r="Q64" s="17"/>
      <c r="R64" s="17"/>
      <c r="S64" s="17"/>
      <c r="T64" s="17"/>
      <c r="U64" s="17"/>
      <c r="V64" s="1"/>
      <c r="W64" s="1"/>
      <c r="X64" s="1"/>
      <c r="Y64" s="1"/>
      <c r="Z64" s="1"/>
      <c r="AA64" s="1" t="s">
        <v>50</v>
      </c>
      <c r="AB64" s="1"/>
      <c r="AC64" s="41">
        <f>ROUND(SUM(AC61:AC63),5)</f>
        <v>13685.44</v>
      </c>
      <c r="AD64" s="90">
        <f>ROUND(SUM(AD61:AD63),5)</f>
        <v>71798</v>
      </c>
      <c r="AE64" s="20"/>
      <c r="AG64" s="1"/>
      <c r="AH64" s="1"/>
      <c r="AI64" s="1"/>
      <c r="AJ64" s="1"/>
      <c r="AK64" s="1"/>
      <c r="AL64" s="1"/>
      <c r="AM64" s="1" t="s">
        <v>50</v>
      </c>
      <c r="AN64" s="1"/>
      <c r="AO64" s="90">
        <f>ROUND(SUM(AO61:AO63),5)</f>
        <v>13685.44</v>
      </c>
      <c r="AP64" s="41">
        <f>ROUND(SUM(AP61:AP63),5)</f>
        <v>53847</v>
      </c>
      <c r="AQ64" s="16"/>
      <c r="AS64" s="1"/>
      <c r="AT64" s="1"/>
      <c r="AU64" s="1"/>
      <c r="AV64" s="1"/>
      <c r="AW64" s="1"/>
      <c r="AX64" s="1"/>
      <c r="AY64" s="1" t="s">
        <v>50</v>
      </c>
      <c r="AZ64" s="1"/>
      <c r="BA64" s="90">
        <f>ROUND(SUM(BA61:BA63),5)</f>
        <v>4855.72</v>
      </c>
      <c r="BB64" s="41">
        <f>ROUND(SUM(BB61:BB63),5)</f>
        <v>17993</v>
      </c>
    </row>
    <row r="65" spans="1:54" s="11" customFormat="1" ht="14.85" customHeight="1" thickBot="1" x14ac:dyDescent="0.3">
      <c r="A65" s="37"/>
      <c r="B65" s="13"/>
      <c r="C65" s="13"/>
      <c r="D65" s="13"/>
      <c r="E65" s="13"/>
      <c r="F65" s="13" t="s">
        <v>50</v>
      </c>
      <c r="G65" s="13"/>
      <c r="H65" s="77">
        <f>ROUND(SUM(H61:H64),5)</f>
        <v>53476.74</v>
      </c>
      <c r="I65" s="77">
        <f t="shared" ref="I65:O65" si="30">ROUND(SUM(I61:I64),5)</f>
        <v>17889.95</v>
      </c>
      <c r="J65" s="77">
        <f t="shared" si="30"/>
        <v>71366.69</v>
      </c>
      <c r="K65" s="77">
        <f t="shared" si="30"/>
        <v>71798</v>
      </c>
      <c r="L65" s="78">
        <f t="shared" si="30"/>
        <v>68208.100000000006</v>
      </c>
      <c r="M65" s="78">
        <f t="shared" si="30"/>
        <v>71898</v>
      </c>
      <c r="N65" s="97">
        <f t="shared" si="30"/>
        <v>-3158.59</v>
      </c>
      <c r="O65" s="143">
        <f t="shared" si="30"/>
        <v>3689.9</v>
      </c>
      <c r="Q65" s="17"/>
      <c r="R65" s="17"/>
      <c r="S65" s="17"/>
      <c r="T65" s="17"/>
      <c r="U65" s="17"/>
      <c r="V65" s="1"/>
      <c r="W65" s="1"/>
      <c r="X65" s="1"/>
      <c r="Y65" s="1"/>
      <c r="Z65" s="1" t="s">
        <v>51</v>
      </c>
      <c r="AA65" s="1"/>
      <c r="AB65" s="1"/>
      <c r="AC65" s="20">
        <f>ROUND(AC17+AC35+AC45+AC50+AC60+AC64,5)</f>
        <v>425007.53</v>
      </c>
      <c r="AD65" s="88">
        <f>ROUND(AD17+AD35+AD45+AD50+AD60+AD64,5)</f>
        <v>669191</v>
      </c>
      <c r="AE65" s="21"/>
      <c r="AG65" s="1"/>
      <c r="AH65" s="1"/>
      <c r="AI65" s="1"/>
      <c r="AJ65" s="1"/>
      <c r="AK65" s="1"/>
      <c r="AL65" s="1" t="s">
        <v>51</v>
      </c>
      <c r="AM65" s="1"/>
      <c r="AN65" s="1"/>
      <c r="AO65" s="88">
        <f>ROUND(AO17+AO35+AO45+AO50+AO60+AO64,5)</f>
        <v>408700.5</v>
      </c>
      <c r="AP65" s="20">
        <f>ROUND(AP17+AP35+AP45+AP50+AP60+AP64,5)</f>
        <v>501894</v>
      </c>
      <c r="AQ65" s="18"/>
      <c r="AS65" s="1"/>
      <c r="AT65" s="1"/>
      <c r="AU65" s="1"/>
      <c r="AV65" s="1"/>
      <c r="AW65" s="1"/>
      <c r="AX65" s="1" t="s">
        <v>51</v>
      </c>
      <c r="AY65" s="1"/>
      <c r="AZ65" s="1"/>
      <c r="BA65" s="88">
        <f>ROUND(BA17+BA35+BA45+BA50+BA60+BA64,5)</f>
        <v>136173.6</v>
      </c>
      <c r="BB65" s="20">
        <f>ROUND(BB17+BB35+BB45+BB50+BB60+BB64,5)</f>
        <v>158204</v>
      </c>
    </row>
    <row r="66" spans="1:54" s="11" customFormat="1" ht="14.85" customHeight="1" thickBot="1" x14ac:dyDescent="0.3">
      <c r="A66" s="37"/>
      <c r="B66" s="34"/>
      <c r="C66" s="34"/>
      <c r="D66" s="34"/>
      <c r="E66" s="34" t="s">
        <v>51</v>
      </c>
      <c r="F66" s="34"/>
      <c r="G66" s="34"/>
      <c r="H66" s="79">
        <f t="shared" ref="H66:O66" si="31">ROUND(H17+H35+H45+H50+H60+H65,5)</f>
        <v>448491.8</v>
      </c>
      <c r="I66" s="79">
        <f t="shared" si="31"/>
        <v>155207.82999999999</v>
      </c>
      <c r="J66" s="79">
        <f t="shared" si="31"/>
        <v>603699.63</v>
      </c>
      <c r="K66" s="79">
        <f t="shared" si="31"/>
        <v>669191</v>
      </c>
      <c r="L66" s="80">
        <f t="shared" si="31"/>
        <v>635731.44999999995</v>
      </c>
      <c r="M66" s="80">
        <f t="shared" si="31"/>
        <v>626242</v>
      </c>
      <c r="N66" s="98">
        <f t="shared" si="31"/>
        <v>32031.82</v>
      </c>
      <c r="O66" s="144">
        <f t="shared" si="31"/>
        <v>-10689.45</v>
      </c>
      <c r="Q66" s="17"/>
      <c r="R66" s="17"/>
      <c r="S66" s="17"/>
      <c r="T66" s="17"/>
      <c r="U66" s="17"/>
      <c r="V66" s="1"/>
      <c r="W66" s="1"/>
      <c r="X66" s="1"/>
      <c r="Y66" s="1"/>
      <c r="Z66" s="1" t="s">
        <v>52</v>
      </c>
      <c r="AA66" s="1"/>
      <c r="AB66" s="1"/>
      <c r="AC66" s="20"/>
      <c r="AD66" s="88"/>
      <c r="AE66" s="20"/>
      <c r="AG66" s="1"/>
      <c r="AH66" s="1"/>
      <c r="AI66" s="1"/>
      <c r="AJ66" s="1"/>
      <c r="AK66" s="1"/>
      <c r="AL66" s="1" t="s">
        <v>52</v>
      </c>
      <c r="AM66" s="1"/>
      <c r="AN66" s="1"/>
      <c r="AO66" s="88"/>
      <c r="AP66" s="20"/>
      <c r="AQ66" s="18"/>
      <c r="AS66" s="1"/>
      <c r="AT66" s="1"/>
      <c r="AU66" s="1"/>
      <c r="AV66" s="1"/>
      <c r="AW66" s="1"/>
      <c r="AX66" s="1" t="s">
        <v>52</v>
      </c>
      <c r="AY66" s="1"/>
      <c r="AZ66" s="1"/>
      <c r="BA66" s="88"/>
      <c r="BB66" s="20"/>
    </row>
    <row r="67" spans="1:54" ht="19.5" customHeight="1" x14ac:dyDescent="0.25">
      <c r="A67" s="37"/>
      <c r="B67" s="1"/>
      <c r="C67" s="1"/>
      <c r="D67" s="1"/>
      <c r="E67" s="1" t="s">
        <v>52</v>
      </c>
      <c r="F67" s="1"/>
      <c r="G67" s="1"/>
      <c r="H67" s="60"/>
      <c r="I67" s="60"/>
      <c r="J67" s="60"/>
      <c r="K67" s="60"/>
      <c r="L67" s="60"/>
      <c r="M67" s="60"/>
      <c r="N67" s="95"/>
      <c r="O67" s="140"/>
      <c r="Q67" s="17"/>
      <c r="R67" s="17"/>
      <c r="S67" s="17"/>
      <c r="T67" s="17"/>
      <c r="U67" s="17"/>
      <c r="V67" s="1"/>
      <c r="W67" s="1"/>
      <c r="X67" s="1"/>
      <c r="Y67" s="1"/>
      <c r="Z67" s="1"/>
      <c r="AA67" s="1" t="s">
        <v>53</v>
      </c>
      <c r="AB67" s="1"/>
      <c r="AC67" s="20"/>
      <c r="AD67" s="88"/>
      <c r="AE67" s="20"/>
      <c r="AG67" s="1"/>
      <c r="AH67" s="1"/>
      <c r="AI67" s="1"/>
      <c r="AJ67" s="1"/>
      <c r="AK67" s="1"/>
      <c r="AL67" s="1"/>
      <c r="AM67" s="1" t="s">
        <v>53</v>
      </c>
      <c r="AN67" s="1"/>
      <c r="AO67" s="88"/>
      <c r="AP67" s="20"/>
      <c r="AQ67" s="16"/>
      <c r="AS67" s="1"/>
      <c r="AT67" s="1"/>
      <c r="AU67" s="1"/>
      <c r="AV67" s="1"/>
      <c r="AW67" s="1"/>
      <c r="AX67" s="1"/>
      <c r="AY67" s="1" t="s">
        <v>53</v>
      </c>
      <c r="AZ67" s="1"/>
      <c r="BA67" s="88"/>
      <c r="BB67" s="20"/>
    </row>
    <row r="68" spans="1:54" ht="14.85" customHeight="1" thickBot="1" x14ac:dyDescent="0.3">
      <c r="A68" s="37"/>
      <c r="B68" s="1"/>
      <c r="C68" s="1"/>
      <c r="D68" s="1"/>
      <c r="E68" s="1"/>
      <c r="F68" s="1" t="s">
        <v>53</v>
      </c>
      <c r="G68" s="1"/>
      <c r="H68" s="60"/>
      <c r="I68" s="60"/>
      <c r="J68" s="60"/>
      <c r="K68" s="60"/>
      <c r="L68" s="60"/>
      <c r="M68" s="60"/>
      <c r="N68" s="95"/>
      <c r="O68" s="140"/>
      <c r="Q68" s="17"/>
      <c r="R68" s="17"/>
      <c r="S68" s="17"/>
      <c r="T68" s="17"/>
      <c r="U68" s="17"/>
      <c r="V68" s="1"/>
      <c r="W68" s="1"/>
      <c r="X68" s="1"/>
      <c r="Y68" s="1"/>
      <c r="Z68" s="1"/>
      <c r="AA68" s="1"/>
      <c r="AB68" s="1" t="s">
        <v>54</v>
      </c>
      <c r="AC68" s="39">
        <v>1707.05</v>
      </c>
      <c r="AD68" s="91">
        <v>2250</v>
      </c>
      <c r="AE68" s="20"/>
      <c r="AG68" s="1"/>
      <c r="AH68" s="1"/>
      <c r="AI68" s="1"/>
      <c r="AJ68" s="1"/>
      <c r="AK68" s="1"/>
      <c r="AL68" s="1"/>
      <c r="AM68" s="1"/>
      <c r="AN68" s="1" t="s">
        <v>54</v>
      </c>
      <c r="AO68" s="91">
        <v>1707.05</v>
      </c>
      <c r="AP68" s="39">
        <v>1683</v>
      </c>
      <c r="AQ68" s="16"/>
      <c r="AS68" s="1"/>
      <c r="AT68" s="1"/>
      <c r="AU68" s="1"/>
      <c r="AV68" s="1"/>
      <c r="AW68" s="1"/>
      <c r="AX68" s="1"/>
      <c r="AY68" s="1"/>
      <c r="AZ68" s="1" t="s">
        <v>54</v>
      </c>
      <c r="BA68" s="91">
        <v>657.42</v>
      </c>
      <c r="BB68" s="39">
        <v>567</v>
      </c>
    </row>
    <row r="69" spans="1:54" ht="14.85" customHeight="1" thickBot="1" x14ac:dyDescent="0.3">
      <c r="A69" s="37"/>
      <c r="B69" s="1"/>
      <c r="C69" s="1"/>
      <c r="D69" s="1"/>
      <c r="E69" s="1"/>
      <c r="F69" s="1"/>
      <c r="G69" s="1" t="s">
        <v>54</v>
      </c>
      <c r="H69" s="70">
        <v>1707.05</v>
      </c>
      <c r="I69" s="123">
        <v>657.42</v>
      </c>
      <c r="J69" s="120">
        <f t="shared" ref="J69" si="32">SUM(H69:I69)</f>
        <v>2364.4699999999998</v>
      </c>
      <c r="K69" s="62">
        <v>2250</v>
      </c>
      <c r="L69" s="127">
        <f t="shared" ref="L69" si="33">K69-(K69*0.05)</f>
        <v>2137.5</v>
      </c>
      <c r="M69" s="127">
        <v>1300</v>
      </c>
      <c r="N69" s="130">
        <f>L69-J69</f>
        <v>-226.9699999999998</v>
      </c>
      <c r="O69" s="141">
        <f t="shared" ref="O69" si="34">M69-L69</f>
        <v>-837.5</v>
      </c>
      <c r="Q69" s="17"/>
      <c r="R69" s="17"/>
      <c r="S69" s="17"/>
      <c r="T69" s="17"/>
      <c r="U69" s="17"/>
      <c r="V69" s="1"/>
      <c r="W69" s="1"/>
      <c r="X69" s="1"/>
      <c r="Y69" s="1"/>
      <c r="Z69" s="1"/>
      <c r="AA69" s="1" t="s">
        <v>55</v>
      </c>
      <c r="AB69" s="1"/>
      <c r="AC69" s="20">
        <f>ROUND(SUM(AC67:AC68),5)</f>
        <v>1707.05</v>
      </c>
      <c r="AD69" s="88">
        <f>ROUND(SUM(AD67:AD68),5)</f>
        <v>2250</v>
      </c>
      <c r="AE69" s="21"/>
      <c r="AG69" s="1"/>
      <c r="AH69" s="1"/>
      <c r="AI69" s="1"/>
      <c r="AJ69" s="1"/>
      <c r="AK69" s="1"/>
      <c r="AL69" s="1"/>
      <c r="AM69" s="1" t="s">
        <v>55</v>
      </c>
      <c r="AN69" s="1"/>
      <c r="AO69" s="88">
        <f>ROUND(SUM(AO67:AO68),5)</f>
        <v>1707.05</v>
      </c>
      <c r="AP69" s="20">
        <f>ROUND(SUM(AP67:AP68),5)</f>
        <v>1683</v>
      </c>
      <c r="AQ69" s="16"/>
      <c r="AS69" s="1"/>
      <c r="AT69" s="1"/>
      <c r="AU69" s="1"/>
      <c r="AV69" s="1"/>
      <c r="AW69" s="1"/>
      <c r="AX69" s="1"/>
      <c r="AY69" s="1" t="s">
        <v>55</v>
      </c>
      <c r="AZ69" s="1"/>
      <c r="BA69" s="88">
        <f>ROUND(SUM(BA67:BA68),5)</f>
        <v>657.42</v>
      </c>
      <c r="BB69" s="20">
        <f>ROUND(SUM(BB67:BB68),5)</f>
        <v>567</v>
      </c>
    </row>
    <row r="70" spans="1:54" s="11" customFormat="1" ht="14.85" customHeight="1" x14ac:dyDescent="0.25">
      <c r="A70" s="37"/>
      <c r="B70" s="13"/>
      <c r="C70" s="13"/>
      <c r="D70" s="13"/>
      <c r="E70" s="13"/>
      <c r="F70" s="13" t="s">
        <v>55</v>
      </c>
      <c r="G70" s="13"/>
      <c r="H70" s="75">
        <f>ROUND(SUM(H68:H69),5)</f>
        <v>1707.05</v>
      </c>
      <c r="I70" s="75">
        <f t="shared" ref="I70:O70" si="35">ROUND(SUM(I68:I69),5)</f>
        <v>657.42</v>
      </c>
      <c r="J70" s="75">
        <f t="shared" si="35"/>
        <v>2364.4699999999998</v>
      </c>
      <c r="K70" s="75">
        <f t="shared" si="35"/>
        <v>2250</v>
      </c>
      <c r="L70" s="75">
        <f t="shared" si="35"/>
        <v>2137.5</v>
      </c>
      <c r="M70" s="75">
        <f t="shared" si="35"/>
        <v>1300</v>
      </c>
      <c r="N70" s="94">
        <f t="shared" si="35"/>
        <v>-226.97</v>
      </c>
      <c r="O70" s="142">
        <f t="shared" si="35"/>
        <v>-837.5</v>
      </c>
      <c r="Q70" s="17"/>
      <c r="R70" s="17"/>
      <c r="S70" s="17"/>
      <c r="T70" s="17"/>
      <c r="U70" s="17"/>
      <c r="V70" s="1"/>
      <c r="W70" s="1"/>
      <c r="X70" s="1"/>
      <c r="Y70" s="1"/>
      <c r="Z70" s="1"/>
      <c r="AA70" s="1" t="s">
        <v>114</v>
      </c>
      <c r="AB70" s="1"/>
      <c r="AC70" s="20"/>
      <c r="AD70" s="88"/>
      <c r="AE70" s="20"/>
      <c r="AG70" s="1"/>
      <c r="AH70" s="1"/>
      <c r="AI70" s="1"/>
      <c r="AJ70" s="1"/>
      <c r="AK70" s="1"/>
      <c r="AL70" s="1"/>
      <c r="AM70" s="1" t="s">
        <v>114</v>
      </c>
      <c r="AN70" s="1"/>
      <c r="AO70" s="88"/>
      <c r="AP70" s="20"/>
      <c r="AQ70" s="18"/>
      <c r="AS70" s="1"/>
      <c r="AT70" s="1"/>
      <c r="AU70" s="1"/>
      <c r="AV70" s="1"/>
      <c r="AW70" s="1"/>
      <c r="AX70" s="1"/>
      <c r="AY70" s="1" t="s">
        <v>114</v>
      </c>
      <c r="AZ70" s="1"/>
      <c r="BA70" s="88"/>
      <c r="BB70" s="20"/>
    </row>
    <row r="71" spans="1:54" s="11" customFormat="1" ht="14.85" customHeight="1" thickBot="1" x14ac:dyDescent="0.3">
      <c r="A71" s="37"/>
      <c r="B71" s="37"/>
      <c r="C71" s="37"/>
      <c r="D71" s="37"/>
      <c r="F71" s="1" t="s">
        <v>114</v>
      </c>
      <c r="G71" s="1"/>
      <c r="H71" s="74"/>
      <c r="I71" s="74"/>
      <c r="J71" s="74"/>
      <c r="K71" s="74"/>
      <c r="L71" s="74"/>
      <c r="M71" s="74"/>
      <c r="N71" s="99"/>
      <c r="O71" s="145"/>
      <c r="Q71" s="17"/>
      <c r="R71" s="17"/>
      <c r="S71" s="17"/>
      <c r="T71" s="17"/>
      <c r="U71" s="17"/>
      <c r="V71" s="1"/>
      <c r="W71" s="1"/>
      <c r="X71" s="1"/>
      <c r="Y71" s="1"/>
      <c r="Z71" s="1"/>
      <c r="AA71" s="1"/>
      <c r="AB71" s="1" t="s">
        <v>115</v>
      </c>
      <c r="AC71" s="39">
        <v>319.91000000000003</v>
      </c>
      <c r="AD71" s="91">
        <v>5000</v>
      </c>
      <c r="AE71" s="20"/>
      <c r="AG71" s="1"/>
      <c r="AH71" s="1"/>
      <c r="AI71" s="1"/>
      <c r="AJ71" s="1"/>
      <c r="AK71" s="1"/>
      <c r="AL71" s="1"/>
      <c r="AM71" s="1"/>
      <c r="AN71" s="1" t="s">
        <v>115</v>
      </c>
      <c r="AO71" s="91">
        <v>319.91000000000003</v>
      </c>
      <c r="AP71" s="39">
        <v>3753</v>
      </c>
      <c r="AQ71" s="18"/>
      <c r="AS71" s="1"/>
      <c r="AT71" s="1"/>
      <c r="AU71" s="1"/>
      <c r="AV71" s="1"/>
      <c r="AW71" s="1"/>
      <c r="AX71" s="1"/>
      <c r="AY71" s="1"/>
      <c r="AZ71" s="1" t="s">
        <v>115</v>
      </c>
      <c r="BA71" s="88">
        <v>38.26</v>
      </c>
      <c r="BB71" s="20">
        <v>1500</v>
      </c>
    </row>
    <row r="72" spans="1:54" s="11" customFormat="1" ht="14.85" customHeight="1" thickBot="1" x14ac:dyDescent="0.3">
      <c r="A72" s="37"/>
      <c r="B72" s="37"/>
      <c r="C72" s="37"/>
      <c r="D72" s="37"/>
      <c r="E72" s="37"/>
      <c r="F72" s="37"/>
      <c r="G72" s="1" t="s">
        <v>115</v>
      </c>
      <c r="H72" s="69">
        <v>319.91000000000003</v>
      </c>
      <c r="I72" s="121">
        <v>38.26</v>
      </c>
      <c r="J72" s="119">
        <f t="shared" ref="J72" si="36">SUM(H72:I72)</f>
        <v>358.17</v>
      </c>
      <c r="K72" s="61">
        <v>5000</v>
      </c>
      <c r="L72" s="128">
        <f t="shared" ref="L72" si="37">K72-(K72*0.05)</f>
        <v>4750</v>
      </c>
      <c r="M72" s="128">
        <f>3000-2000</f>
        <v>1000</v>
      </c>
      <c r="N72" s="129">
        <f t="shared" ref="N72" si="38">L72-J72</f>
        <v>4391.83</v>
      </c>
      <c r="O72" s="138">
        <f t="shared" ref="O72" si="39">M72-L72</f>
        <v>-3750</v>
      </c>
      <c r="Q72" s="17"/>
      <c r="R72" s="17"/>
      <c r="S72" s="17"/>
      <c r="T72" s="17"/>
      <c r="U72" s="17"/>
      <c r="V72" s="1"/>
      <c r="W72" s="1"/>
      <c r="X72" s="1"/>
      <c r="Y72" s="1"/>
      <c r="Z72" s="1"/>
      <c r="AA72" s="1" t="s">
        <v>112</v>
      </c>
      <c r="AB72" s="1"/>
      <c r="AC72" s="20">
        <f>ROUND(SUM(AC70:AC71),5)</f>
        <v>319.91000000000003</v>
      </c>
      <c r="AD72" s="88">
        <f>ROUND(SUM(AD70:AD71),5)</f>
        <v>5000</v>
      </c>
      <c r="AE72" s="20"/>
      <c r="AG72" s="1"/>
      <c r="AH72" s="1"/>
      <c r="AI72" s="1"/>
      <c r="AJ72" s="1"/>
      <c r="AK72" s="1"/>
      <c r="AL72" s="1"/>
      <c r="AM72" s="1" t="s">
        <v>112</v>
      </c>
      <c r="AN72" s="1"/>
      <c r="AO72" s="88">
        <f>ROUND(SUM(AO70:AO71),5)</f>
        <v>319.91000000000003</v>
      </c>
      <c r="AP72" s="20">
        <f>ROUND(SUM(AP70:AP71),5)</f>
        <v>3753</v>
      </c>
      <c r="AQ72" s="18"/>
      <c r="AS72" s="1"/>
      <c r="AT72" s="1"/>
      <c r="AU72" s="1"/>
      <c r="AV72" s="1"/>
      <c r="AW72" s="1"/>
      <c r="AX72" s="1"/>
      <c r="AY72" s="1"/>
      <c r="AZ72" s="1" t="s">
        <v>116</v>
      </c>
      <c r="BA72" s="91">
        <v>0</v>
      </c>
      <c r="BB72" s="39">
        <v>300</v>
      </c>
    </row>
    <row r="73" spans="1:54" s="11" customFormat="1" ht="14.85" customHeight="1" thickBot="1" x14ac:dyDescent="0.3">
      <c r="A73" s="37"/>
      <c r="B73" s="37"/>
      <c r="C73" s="37"/>
      <c r="D73" s="37"/>
      <c r="E73" s="37"/>
      <c r="F73" s="37"/>
      <c r="G73" s="155" t="s">
        <v>116</v>
      </c>
      <c r="H73" s="70"/>
      <c r="I73" s="123"/>
      <c r="J73" s="120"/>
      <c r="K73" s="62"/>
      <c r="L73" s="127"/>
      <c r="M73" s="127"/>
      <c r="N73" s="130"/>
      <c r="O73" s="141"/>
      <c r="Q73" s="17"/>
      <c r="R73" s="17"/>
      <c r="S73" s="17"/>
      <c r="T73" s="17"/>
      <c r="U73" s="17"/>
      <c r="V73" s="1"/>
      <c r="W73" s="1"/>
      <c r="X73" s="1"/>
      <c r="Y73" s="1"/>
      <c r="Z73" s="1"/>
      <c r="AA73" s="1" t="s">
        <v>56</v>
      </c>
      <c r="AB73" s="1"/>
      <c r="AC73" s="20"/>
      <c r="AD73" s="88"/>
      <c r="AE73" s="21"/>
      <c r="AG73" s="1"/>
      <c r="AH73" s="1"/>
      <c r="AI73" s="1"/>
      <c r="AJ73" s="1"/>
      <c r="AK73" s="1"/>
      <c r="AL73" s="1"/>
      <c r="AM73" s="1" t="s">
        <v>56</v>
      </c>
      <c r="AN73" s="1"/>
      <c r="AO73" s="88"/>
      <c r="AP73" s="20"/>
      <c r="AQ73" s="18"/>
      <c r="AS73" s="1"/>
      <c r="AT73" s="1"/>
      <c r="AU73" s="1"/>
      <c r="AV73" s="1"/>
      <c r="AW73" s="1"/>
      <c r="AX73" s="1"/>
      <c r="AY73" s="1" t="s">
        <v>112</v>
      </c>
      <c r="AZ73" s="1"/>
      <c r="BA73" s="88">
        <f>ROUND(SUM(BA70:BA72),5)</f>
        <v>38.26</v>
      </c>
      <c r="BB73" s="20">
        <f>ROUND(SUM(BB70:BB72),5)</f>
        <v>1800</v>
      </c>
    </row>
    <row r="74" spans="1:54" s="11" customFormat="1" ht="14.85" customHeight="1" x14ac:dyDescent="0.25">
      <c r="A74" s="37"/>
      <c r="B74" s="13"/>
      <c r="C74" s="13"/>
      <c r="D74" s="13"/>
      <c r="E74" s="13"/>
      <c r="F74" s="13" t="s">
        <v>112</v>
      </c>
      <c r="G74" s="13"/>
      <c r="H74" s="75">
        <f>ROUND(SUM(H71:H73),5)</f>
        <v>319.91000000000003</v>
      </c>
      <c r="I74" s="75">
        <f t="shared" ref="I74:O74" si="40">ROUND(SUM(I71:I73),5)</f>
        <v>38.26</v>
      </c>
      <c r="J74" s="75">
        <f t="shared" si="40"/>
        <v>358.17</v>
      </c>
      <c r="K74" s="75">
        <f t="shared" si="40"/>
        <v>5000</v>
      </c>
      <c r="L74" s="75">
        <f t="shared" si="40"/>
        <v>4750</v>
      </c>
      <c r="M74" s="75">
        <f t="shared" si="40"/>
        <v>1000</v>
      </c>
      <c r="N74" s="94">
        <f t="shared" si="40"/>
        <v>4391.83</v>
      </c>
      <c r="O74" s="142">
        <f t="shared" si="40"/>
        <v>-3750</v>
      </c>
      <c r="Q74" s="17"/>
      <c r="R74" s="17"/>
      <c r="S74" s="17"/>
      <c r="T74" s="17"/>
      <c r="U74" s="17"/>
      <c r="V74" s="1"/>
      <c r="W74" s="1"/>
      <c r="X74" s="1"/>
      <c r="Y74" s="1"/>
      <c r="Z74" s="1"/>
      <c r="AA74" s="1"/>
      <c r="AB74" s="1" t="s">
        <v>99</v>
      </c>
      <c r="AC74" s="20">
        <v>2196.52</v>
      </c>
      <c r="AD74" s="88">
        <v>4100</v>
      </c>
      <c r="AE74" s="20"/>
      <c r="AG74" s="1"/>
      <c r="AH74" s="1"/>
      <c r="AI74" s="1"/>
      <c r="AJ74" s="1"/>
      <c r="AK74" s="1"/>
      <c r="AL74" s="1"/>
      <c r="AM74" s="1"/>
      <c r="AN74" s="1" t="s">
        <v>99</v>
      </c>
      <c r="AO74" s="88">
        <v>2556.52</v>
      </c>
      <c r="AP74" s="20">
        <v>3078</v>
      </c>
      <c r="AQ74" s="18"/>
      <c r="AS74" s="1"/>
      <c r="AT74" s="1"/>
      <c r="AU74" s="1"/>
      <c r="AV74" s="1"/>
      <c r="AW74" s="1"/>
      <c r="AX74" s="1"/>
      <c r="AY74" s="1" t="s">
        <v>56</v>
      </c>
      <c r="AZ74" s="1"/>
      <c r="BA74" s="88"/>
      <c r="BB74" s="20"/>
    </row>
    <row r="75" spans="1:54" ht="14.85" customHeight="1" x14ac:dyDescent="0.25">
      <c r="A75" s="37"/>
      <c r="B75" s="1"/>
      <c r="C75" s="1"/>
      <c r="D75" s="1"/>
      <c r="E75" s="1"/>
      <c r="F75" s="1" t="s">
        <v>56</v>
      </c>
      <c r="G75" s="1"/>
      <c r="H75" s="60"/>
      <c r="I75" s="60"/>
      <c r="J75" s="60"/>
      <c r="K75" s="60"/>
      <c r="L75" s="60"/>
      <c r="M75" s="60"/>
      <c r="N75" s="95"/>
      <c r="O75" s="140"/>
      <c r="Q75" s="17"/>
      <c r="R75" s="17"/>
      <c r="S75" s="17"/>
      <c r="T75" s="17"/>
      <c r="U75" s="17"/>
      <c r="V75" s="1"/>
      <c r="W75" s="1"/>
      <c r="X75" s="1"/>
      <c r="Y75" s="1"/>
      <c r="Z75" s="1"/>
      <c r="AA75" s="1"/>
      <c r="AB75" s="1" t="s">
        <v>126</v>
      </c>
      <c r="AC75" s="20">
        <v>2328.13</v>
      </c>
      <c r="AD75" s="88">
        <v>7700</v>
      </c>
      <c r="AE75" s="20"/>
      <c r="AG75" s="1"/>
      <c r="AH75" s="1"/>
      <c r="AI75" s="1"/>
      <c r="AJ75" s="1"/>
      <c r="AK75" s="1"/>
      <c r="AL75" s="1"/>
      <c r="AM75" s="1"/>
      <c r="AN75" s="1" t="s">
        <v>126</v>
      </c>
      <c r="AO75" s="88">
        <v>2328.13</v>
      </c>
      <c r="AP75" s="20">
        <v>5778</v>
      </c>
      <c r="AQ75" s="16"/>
      <c r="AS75" s="1"/>
      <c r="AT75" s="1"/>
      <c r="AU75" s="1"/>
      <c r="AV75" s="1"/>
      <c r="AW75" s="1"/>
      <c r="AX75" s="1"/>
      <c r="AY75" s="1"/>
      <c r="AZ75" s="1" t="s">
        <v>99</v>
      </c>
      <c r="BA75" s="88">
        <v>2261.7199999999998</v>
      </c>
      <c r="BB75" s="20">
        <v>1022</v>
      </c>
    </row>
    <row r="76" spans="1:54" ht="14.85" customHeight="1" thickBot="1" x14ac:dyDescent="0.3">
      <c r="A76" s="37"/>
      <c r="B76" s="1"/>
      <c r="C76" s="1"/>
      <c r="D76" s="1"/>
      <c r="E76" s="1"/>
      <c r="F76" s="1"/>
      <c r="G76" s="1" t="s">
        <v>99</v>
      </c>
      <c r="H76" s="69">
        <v>2556.52</v>
      </c>
      <c r="I76" s="121">
        <v>2261.7199999999998</v>
      </c>
      <c r="J76" s="119">
        <f t="shared" ref="J76:J79" si="41">SUM(H76:I76)</f>
        <v>4818.24</v>
      </c>
      <c r="K76" s="61">
        <v>4100</v>
      </c>
      <c r="L76" s="128">
        <f t="shared" ref="L76:L79" si="42">K76-(K76*0.05)</f>
        <v>3895</v>
      </c>
      <c r="M76" s="128">
        <v>0</v>
      </c>
      <c r="N76" s="129">
        <f t="shared" ref="N76:N79" si="43">L76-J76</f>
        <v>-923.23999999999978</v>
      </c>
      <c r="O76" s="138">
        <f t="shared" ref="O76:O79" si="44">M76-L76</f>
        <v>-3895</v>
      </c>
      <c r="Q76" s="17"/>
      <c r="R76" s="17"/>
      <c r="S76" s="17"/>
      <c r="T76" s="17"/>
      <c r="U76" s="17"/>
      <c r="V76" s="1"/>
      <c r="W76" s="1"/>
      <c r="X76" s="1"/>
      <c r="Y76" s="1"/>
      <c r="Z76" s="1"/>
      <c r="AA76" s="1"/>
      <c r="AB76" s="1" t="s">
        <v>95</v>
      </c>
      <c r="AC76" s="39">
        <v>689.87</v>
      </c>
      <c r="AD76" s="91">
        <v>2000</v>
      </c>
      <c r="AE76" s="20"/>
      <c r="AG76" s="1"/>
      <c r="AH76" s="1"/>
      <c r="AI76" s="1"/>
      <c r="AJ76" s="1"/>
      <c r="AK76" s="1"/>
      <c r="AL76" s="1"/>
      <c r="AM76" s="1"/>
      <c r="AN76" s="1" t="s">
        <v>95</v>
      </c>
      <c r="AO76" s="91">
        <v>689.87</v>
      </c>
      <c r="AP76" s="39">
        <v>1503</v>
      </c>
      <c r="AQ76" s="16"/>
      <c r="AS76" s="1"/>
      <c r="AT76" s="1"/>
      <c r="AU76" s="1"/>
      <c r="AV76" s="1"/>
      <c r="AW76" s="1"/>
      <c r="AX76" s="1"/>
      <c r="AY76" s="1"/>
      <c r="AZ76" s="1" t="s">
        <v>126</v>
      </c>
      <c r="BA76" s="88">
        <v>-135</v>
      </c>
      <c r="BB76" s="20">
        <v>3122</v>
      </c>
    </row>
    <row r="77" spans="1:54" ht="14.85" customHeight="1" thickBot="1" x14ac:dyDescent="0.3">
      <c r="A77" s="37"/>
      <c r="B77" s="1"/>
      <c r="C77" s="1"/>
      <c r="D77" s="1"/>
      <c r="E77" s="1"/>
      <c r="F77" s="1"/>
      <c r="G77" s="1" t="s">
        <v>100</v>
      </c>
      <c r="H77" s="69">
        <v>2328.13</v>
      </c>
      <c r="I77" s="121">
        <v>-135</v>
      </c>
      <c r="J77" s="119">
        <f t="shared" si="41"/>
        <v>2193.13</v>
      </c>
      <c r="K77" s="131">
        <v>7700</v>
      </c>
      <c r="L77" s="128">
        <f t="shared" si="42"/>
        <v>7315</v>
      </c>
      <c r="M77" s="128">
        <f>8300+2500</f>
        <v>10800</v>
      </c>
      <c r="N77" s="129">
        <f t="shared" si="43"/>
        <v>5121.87</v>
      </c>
      <c r="O77" s="138">
        <f t="shared" si="44"/>
        <v>3485</v>
      </c>
      <c r="Q77" s="153" t="s">
        <v>179</v>
      </c>
      <c r="R77" s="17"/>
      <c r="S77" s="17"/>
      <c r="T77" s="17"/>
      <c r="U77" s="17"/>
      <c r="V77" s="1"/>
      <c r="W77" s="1"/>
      <c r="X77" s="1"/>
      <c r="Y77" s="1"/>
      <c r="Z77" s="1"/>
      <c r="AA77" s="1" t="s">
        <v>57</v>
      </c>
      <c r="AB77" s="1"/>
      <c r="AC77" s="20">
        <f>ROUND(SUM(AC73:AC76),5)</f>
        <v>5214.5200000000004</v>
      </c>
      <c r="AD77" s="88">
        <f>ROUND(SUM(AD73:AD76),5)</f>
        <v>13800</v>
      </c>
      <c r="AE77" s="20"/>
      <c r="AG77" s="1"/>
      <c r="AH77" s="1"/>
      <c r="AI77" s="1"/>
      <c r="AJ77" s="1"/>
      <c r="AK77" s="1"/>
      <c r="AL77" s="1"/>
      <c r="AM77" s="1" t="s">
        <v>57</v>
      </c>
      <c r="AN77" s="1"/>
      <c r="AO77" s="88">
        <f>ROUND(SUM(AO73:AO76),5)</f>
        <v>5574.52</v>
      </c>
      <c r="AP77" s="20">
        <f>ROUND(SUM(AP73:AP76),5)</f>
        <v>10359</v>
      </c>
      <c r="AQ77" s="16"/>
      <c r="AS77" s="1"/>
      <c r="AT77" s="1"/>
      <c r="AU77" s="1"/>
      <c r="AV77" s="1"/>
      <c r="AW77" s="1"/>
      <c r="AX77" s="1"/>
      <c r="AY77" s="1"/>
      <c r="AZ77" s="1" t="s">
        <v>95</v>
      </c>
      <c r="BA77" s="91">
        <v>339.63</v>
      </c>
      <c r="BB77" s="39">
        <v>497</v>
      </c>
    </row>
    <row r="78" spans="1:54" ht="14.85" customHeight="1" x14ac:dyDescent="0.25">
      <c r="A78" s="37"/>
      <c r="B78" s="1"/>
      <c r="C78" s="1"/>
      <c r="D78" s="1"/>
      <c r="E78" s="1"/>
      <c r="F78" s="1"/>
      <c r="G78" s="1" t="s">
        <v>174</v>
      </c>
      <c r="H78" s="69"/>
      <c r="I78" s="121"/>
      <c r="J78" s="119"/>
      <c r="K78" s="131"/>
      <c r="L78" s="128"/>
      <c r="M78" s="128">
        <v>1000</v>
      </c>
      <c r="N78" s="129"/>
      <c r="O78" s="138"/>
      <c r="Q78" s="153"/>
      <c r="R78" s="17"/>
      <c r="S78" s="17"/>
      <c r="T78" s="17"/>
      <c r="U78" s="17"/>
      <c r="V78" s="1"/>
      <c r="W78" s="1"/>
      <c r="X78" s="1"/>
      <c r="Y78" s="1"/>
      <c r="Z78" s="1"/>
      <c r="AA78" s="1"/>
      <c r="AB78" s="1"/>
      <c r="AC78" s="20"/>
      <c r="AD78" s="88"/>
      <c r="AE78" s="20"/>
      <c r="AG78" s="1"/>
      <c r="AH78" s="1"/>
      <c r="AI78" s="1"/>
      <c r="AJ78" s="1"/>
      <c r="AK78" s="1"/>
      <c r="AL78" s="1"/>
      <c r="AM78" s="1"/>
      <c r="AN78" s="1"/>
      <c r="AO78" s="88"/>
      <c r="AP78" s="20"/>
      <c r="AQ78" s="16"/>
      <c r="AS78" s="1"/>
      <c r="AT78" s="1"/>
      <c r="AU78" s="1"/>
      <c r="AV78" s="1"/>
      <c r="AW78" s="1"/>
      <c r="AX78" s="1"/>
      <c r="AY78" s="1"/>
      <c r="AZ78" s="1"/>
      <c r="BA78" s="110"/>
      <c r="BB78" s="21"/>
    </row>
    <row r="79" spans="1:54" ht="14.85" customHeight="1" thickBot="1" x14ac:dyDescent="0.3">
      <c r="A79" s="37"/>
      <c r="B79" s="1"/>
      <c r="C79" s="1"/>
      <c r="D79" s="1"/>
      <c r="E79" s="1"/>
      <c r="F79" s="1"/>
      <c r="G79" s="1" t="s">
        <v>176</v>
      </c>
      <c r="H79" s="70">
        <v>689.87</v>
      </c>
      <c r="I79" s="123">
        <v>339.63</v>
      </c>
      <c r="J79" s="120">
        <f t="shared" si="41"/>
        <v>1029.5</v>
      </c>
      <c r="K79" s="62">
        <v>2000</v>
      </c>
      <c r="L79" s="127">
        <f t="shared" si="42"/>
        <v>1900</v>
      </c>
      <c r="M79" s="127">
        <v>1200</v>
      </c>
      <c r="N79" s="130">
        <f t="shared" si="43"/>
        <v>870.5</v>
      </c>
      <c r="O79" s="141">
        <f t="shared" si="44"/>
        <v>-700</v>
      </c>
      <c r="Q79" s="153"/>
      <c r="R79" s="17"/>
      <c r="S79" s="17"/>
      <c r="T79" s="17"/>
      <c r="U79" s="17"/>
      <c r="V79" s="1"/>
      <c r="W79" s="1"/>
      <c r="X79" s="1"/>
      <c r="Y79" s="1"/>
      <c r="Z79" s="1"/>
      <c r="AA79" s="1" t="s">
        <v>58</v>
      </c>
      <c r="AB79" s="1"/>
      <c r="AC79" s="20"/>
      <c r="AD79" s="88"/>
      <c r="AE79" s="21"/>
      <c r="AG79" s="1"/>
      <c r="AH79" s="1"/>
      <c r="AI79" s="1"/>
      <c r="AJ79" s="1"/>
      <c r="AK79" s="1"/>
      <c r="AL79" s="1"/>
      <c r="AM79" s="1" t="s">
        <v>58</v>
      </c>
      <c r="AN79" s="1"/>
      <c r="AO79" s="88"/>
      <c r="AP79" s="20"/>
      <c r="AQ79" s="16"/>
      <c r="AS79" s="1"/>
      <c r="AT79" s="1"/>
      <c r="AU79" s="1"/>
      <c r="AV79" s="1"/>
      <c r="AW79" s="1"/>
      <c r="AX79" s="1"/>
      <c r="AY79" s="1" t="s">
        <v>57</v>
      </c>
      <c r="AZ79" s="1"/>
      <c r="BA79" s="88">
        <f>ROUND(SUM(BA74:BA77),5)</f>
        <v>2466.35</v>
      </c>
      <c r="BB79" s="20">
        <f>ROUND(SUM(BB74:BB77),5)</f>
        <v>4641</v>
      </c>
    </row>
    <row r="80" spans="1:54" s="11" customFormat="1" ht="14.85" customHeight="1" x14ac:dyDescent="0.25">
      <c r="A80" s="37"/>
      <c r="B80" s="13"/>
      <c r="C80" s="13"/>
      <c r="D80" s="13"/>
      <c r="E80" s="13"/>
      <c r="F80" s="13" t="s">
        <v>57</v>
      </c>
      <c r="G80" s="13"/>
      <c r="H80" s="75">
        <f>ROUND(SUM(H75:H79),5)</f>
        <v>5574.52</v>
      </c>
      <c r="I80" s="75">
        <f t="shared" ref="I80:O80" si="45">ROUND(SUM(I75:I79),5)</f>
        <v>2466.35</v>
      </c>
      <c r="J80" s="75">
        <f t="shared" si="45"/>
        <v>8040.87</v>
      </c>
      <c r="K80" s="75">
        <f t="shared" si="45"/>
        <v>13800</v>
      </c>
      <c r="L80" s="75">
        <f t="shared" si="45"/>
        <v>13110</v>
      </c>
      <c r="M80" s="75">
        <f t="shared" si="45"/>
        <v>13000</v>
      </c>
      <c r="N80" s="94">
        <f t="shared" si="45"/>
        <v>5069.13</v>
      </c>
      <c r="O80" s="142">
        <f t="shared" si="45"/>
        <v>-1110</v>
      </c>
      <c r="Q80" s="17"/>
      <c r="R80" s="17"/>
      <c r="S80" s="17"/>
      <c r="T80" s="17"/>
      <c r="U80" s="17"/>
      <c r="V80" s="1"/>
      <c r="W80" s="1"/>
      <c r="X80" s="1"/>
      <c r="Y80" s="1"/>
      <c r="Z80" s="1"/>
      <c r="AA80" s="1"/>
      <c r="AB80" s="1" t="s">
        <v>59</v>
      </c>
      <c r="AC80" s="20">
        <v>705.8</v>
      </c>
      <c r="AD80" s="88">
        <v>1230</v>
      </c>
      <c r="AE80" s="20"/>
      <c r="AG80" s="1"/>
      <c r="AH80" s="1"/>
      <c r="AI80" s="1"/>
      <c r="AJ80" s="1"/>
      <c r="AK80" s="1"/>
      <c r="AL80" s="1"/>
      <c r="AM80" s="1"/>
      <c r="AN80" s="1" t="s">
        <v>59</v>
      </c>
      <c r="AO80" s="88">
        <v>705.8</v>
      </c>
      <c r="AP80" s="20">
        <v>918</v>
      </c>
      <c r="AQ80" s="18"/>
      <c r="AS80" s="1"/>
      <c r="AT80" s="1"/>
      <c r="AU80" s="1"/>
      <c r="AV80" s="1"/>
      <c r="AW80" s="1"/>
      <c r="AX80" s="1"/>
      <c r="AY80" s="1" t="s">
        <v>58</v>
      </c>
      <c r="AZ80" s="1"/>
      <c r="BA80" s="88"/>
      <c r="BB80" s="20"/>
    </row>
    <row r="81" spans="1:54" ht="14.85" customHeight="1" x14ac:dyDescent="0.25">
      <c r="A81" s="37"/>
      <c r="B81" s="1"/>
      <c r="C81" s="1"/>
      <c r="D81" s="1"/>
      <c r="E81" s="1"/>
      <c r="F81" s="1" t="s">
        <v>58</v>
      </c>
      <c r="G81" s="1"/>
      <c r="H81" s="60"/>
      <c r="I81" s="60"/>
      <c r="J81" s="60"/>
      <c r="K81" s="60"/>
      <c r="L81" s="60"/>
      <c r="M81" s="60"/>
      <c r="N81" s="95"/>
      <c r="O81" s="140"/>
      <c r="Q81" s="17"/>
      <c r="R81" s="17"/>
      <c r="S81" s="17"/>
      <c r="T81" s="17"/>
      <c r="U81" s="17"/>
      <c r="V81" s="1"/>
      <c r="W81" s="1"/>
      <c r="X81" s="1"/>
      <c r="Y81" s="1"/>
      <c r="Z81" s="1"/>
      <c r="AA81" s="1"/>
      <c r="AB81" s="1" t="s">
        <v>60</v>
      </c>
      <c r="AC81" s="20">
        <v>238.66</v>
      </c>
      <c r="AD81" s="88">
        <v>1640</v>
      </c>
      <c r="AE81" s="20"/>
      <c r="AG81" s="1"/>
      <c r="AH81" s="1"/>
      <c r="AI81" s="1"/>
      <c r="AJ81" s="1"/>
      <c r="AK81" s="1"/>
      <c r="AL81" s="1"/>
      <c r="AM81" s="1"/>
      <c r="AN81" s="1" t="s">
        <v>60</v>
      </c>
      <c r="AO81" s="88">
        <v>238.66</v>
      </c>
      <c r="AP81" s="20">
        <v>1233</v>
      </c>
      <c r="AQ81" s="16"/>
      <c r="AS81" s="1"/>
      <c r="AT81" s="1"/>
      <c r="AU81" s="1"/>
      <c r="AV81" s="1"/>
      <c r="AW81" s="1"/>
      <c r="AX81" s="1"/>
      <c r="AY81" s="1"/>
      <c r="AZ81" s="1" t="s">
        <v>59</v>
      </c>
      <c r="BA81" s="88">
        <v>191.06</v>
      </c>
      <c r="BB81" s="20">
        <v>375</v>
      </c>
    </row>
    <row r="82" spans="1:54" ht="14.85" customHeight="1" x14ac:dyDescent="0.25">
      <c r="A82" s="37"/>
      <c r="B82" s="1"/>
      <c r="C82" s="1"/>
      <c r="D82" s="1"/>
      <c r="E82" s="1"/>
      <c r="F82" s="1"/>
      <c r="G82" s="152" t="s">
        <v>175</v>
      </c>
      <c r="H82" s="69">
        <v>705.8</v>
      </c>
      <c r="I82" s="121">
        <v>191.06</v>
      </c>
      <c r="J82" s="119">
        <f t="shared" ref="J82:J87" si="46">SUM(H82:I82)</f>
        <v>896.8599999999999</v>
      </c>
      <c r="K82" s="61">
        <v>1230</v>
      </c>
      <c r="L82" s="128">
        <f t="shared" ref="L82:L87" si="47">K82-(K82*0.05)</f>
        <v>1168.5</v>
      </c>
      <c r="M82" s="128">
        <v>1200</v>
      </c>
      <c r="N82" s="129">
        <f t="shared" ref="N82:N87" si="48">L82-J82</f>
        <v>271.6400000000001</v>
      </c>
      <c r="O82" s="138">
        <f t="shared" ref="O82:O87" si="49">M82-L82</f>
        <v>31.5</v>
      </c>
      <c r="Q82" s="17" t="s">
        <v>164</v>
      </c>
      <c r="R82" s="17"/>
      <c r="S82" s="17"/>
      <c r="T82" s="17"/>
      <c r="U82" s="17"/>
      <c r="V82" s="1"/>
      <c r="W82" s="1"/>
      <c r="X82" s="1"/>
      <c r="Y82" s="1"/>
      <c r="Z82" s="1"/>
      <c r="AA82" s="1"/>
      <c r="AB82" s="1" t="s">
        <v>129</v>
      </c>
      <c r="AC82" s="20">
        <v>51.72</v>
      </c>
      <c r="AD82" s="88">
        <v>210</v>
      </c>
      <c r="AE82" s="20"/>
      <c r="AG82" s="1"/>
      <c r="AH82" s="1"/>
      <c r="AI82" s="1"/>
      <c r="AJ82" s="1"/>
      <c r="AK82" s="1"/>
      <c r="AL82" s="1"/>
      <c r="AM82" s="1"/>
      <c r="AN82" s="1" t="s">
        <v>129</v>
      </c>
      <c r="AO82" s="88">
        <v>51.72</v>
      </c>
      <c r="AP82" s="20">
        <v>162</v>
      </c>
      <c r="AQ82" s="16"/>
      <c r="AS82" s="1"/>
      <c r="AT82" s="1"/>
      <c r="AU82" s="1"/>
      <c r="AV82" s="1"/>
      <c r="AW82" s="1"/>
      <c r="AX82" s="1"/>
      <c r="AY82" s="1"/>
      <c r="AZ82" s="1" t="s">
        <v>60</v>
      </c>
      <c r="BA82" s="88">
        <v>7.9</v>
      </c>
      <c r="BB82" s="20">
        <v>497</v>
      </c>
    </row>
    <row r="83" spans="1:54" ht="14.85" customHeight="1" x14ac:dyDescent="0.25">
      <c r="A83" s="37"/>
      <c r="B83" s="1"/>
      <c r="C83" s="1"/>
      <c r="D83" s="1"/>
      <c r="E83" s="1"/>
      <c r="F83" s="1"/>
      <c r="G83" s="152" t="s">
        <v>165</v>
      </c>
      <c r="H83" s="69">
        <v>238.66</v>
      </c>
      <c r="I83" s="121">
        <v>7.9</v>
      </c>
      <c r="J83" s="119">
        <f t="shared" si="46"/>
        <v>246.56</v>
      </c>
      <c r="K83" s="61">
        <v>1640</v>
      </c>
      <c r="L83" s="128">
        <f t="shared" si="47"/>
        <v>1558</v>
      </c>
      <c r="M83" s="128">
        <v>2000</v>
      </c>
      <c r="N83" s="129">
        <f t="shared" si="48"/>
        <v>1311.44</v>
      </c>
      <c r="O83" s="138">
        <f t="shared" si="49"/>
        <v>442</v>
      </c>
      <c r="Q83" s="17" t="s">
        <v>159</v>
      </c>
      <c r="R83" s="17"/>
      <c r="S83" s="17"/>
      <c r="T83" s="17"/>
      <c r="U83" s="17"/>
      <c r="V83" s="1"/>
      <c r="W83" s="1"/>
      <c r="X83" s="1"/>
      <c r="Y83" s="1"/>
      <c r="Z83" s="1"/>
      <c r="AA83" s="1"/>
      <c r="AB83" s="1" t="s">
        <v>61</v>
      </c>
      <c r="AC83" s="20">
        <v>744.67</v>
      </c>
      <c r="AD83" s="88">
        <v>2050</v>
      </c>
      <c r="AE83" s="20"/>
      <c r="AG83" s="1"/>
      <c r="AH83" s="1"/>
      <c r="AI83" s="1"/>
      <c r="AJ83" s="1"/>
      <c r="AK83" s="1"/>
      <c r="AL83" s="1"/>
      <c r="AM83" s="1"/>
      <c r="AN83" s="1" t="s">
        <v>61</v>
      </c>
      <c r="AO83" s="88">
        <v>744.67</v>
      </c>
      <c r="AP83" s="20">
        <v>1539</v>
      </c>
      <c r="AQ83" s="16"/>
      <c r="AS83" s="1"/>
      <c r="AT83" s="1"/>
      <c r="AU83" s="1"/>
      <c r="AV83" s="1"/>
      <c r="AW83" s="1"/>
      <c r="AX83" s="1"/>
      <c r="AY83" s="1"/>
      <c r="AZ83" s="1" t="s">
        <v>129</v>
      </c>
      <c r="BA83" s="88">
        <v>100.25</v>
      </c>
      <c r="BB83" s="20">
        <v>61</v>
      </c>
    </row>
    <row r="84" spans="1:54" ht="14.85" customHeight="1" x14ac:dyDescent="0.25">
      <c r="A84" s="37"/>
      <c r="B84" s="1"/>
      <c r="C84" s="1"/>
      <c r="D84" s="1"/>
      <c r="E84" s="1"/>
      <c r="F84" s="1"/>
      <c r="G84" s="152" t="s">
        <v>169</v>
      </c>
      <c r="H84" s="69">
        <v>51.72</v>
      </c>
      <c r="I84" s="121">
        <v>100.25</v>
      </c>
      <c r="J84" s="119">
        <f t="shared" si="46"/>
        <v>151.97</v>
      </c>
      <c r="K84" s="61">
        <v>210</v>
      </c>
      <c r="L84" s="128">
        <f t="shared" si="47"/>
        <v>199.5</v>
      </c>
      <c r="M84" s="128">
        <v>1200</v>
      </c>
      <c r="N84" s="129">
        <f t="shared" si="48"/>
        <v>47.53</v>
      </c>
      <c r="O84" s="138">
        <f t="shared" si="49"/>
        <v>1000.5</v>
      </c>
      <c r="Q84" s="17" t="s">
        <v>160</v>
      </c>
      <c r="R84" s="17"/>
      <c r="S84" s="17"/>
      <c r="T84" s="17"/>
      <c r="U84" s="17"/>
      <c r="V84" s="1"/>
      <c r="W84" s="1"/>
      <c r="X84" s="1"/>
      <c r="Y84" s="1"/>
      <c r="Z84" s="1"/>
      <c r="AA84" s="1"/>
      <c r="AB84" s="1" t="s">
        <v>62</v>
      </c>
      <c r="AC84" s="20">
        <v>380.7</v>
      </c>
      <c r="AD84" s="88">
        <v>820</v>
      </c>
      <c r="AE84" s="20"/>
      <c r="AG84" s="1"/>
      <c r="AH84" s="1"/>
      <c r="AI84" s="1"/>
      <c r="AJ84" s="1"/>
      <c r="AK84" s="1"/>
      <c r="AL84" s="1"/>
      <c r="AM84" s="1"/>
      <c r="AN84" s="1" t="s">
        <v>62</v>
      </c>
      <c r="AO84" s="88">
        <v>380.7</v>
      </c>
      <c r="AP84" s="20">
        <v>612</v>
      </c>
      <c r="AQ84" s="16"/>
      <c r="AS84" s="1"/>
      <c r="AT84" s="1"/>
      <c r="AU84" s="1"/>
      <c r="AV84" s="1"/>
      <c r="AW84" s="1"/>
      <c r="AX84" s="1"/>
      <c r="AY84" s="1"/>
      <c r="AZ84" s="1" t="s">
        <v>61</v>
      </c>
      <c r="BA84" s="88">
        <v>7.7</v>
      </c>
      <c r="BB84" s="20">
        <v>628</v>
      </c>
    </row>
    <row r="85" spans="1:54" ht="14.85" customHeight="1" thickBot="1" x14ac:dyDescent="0.3">
      <c r="A85" s="37"/>
      <c r="B85" s="1"/>
      <c r="C85" s="1"/>
      <c r="D85" s="1"/>
      <c r="E85" s="1"/>
      <c r="F85" s="1"/>
      <c r="G85" s="152" t="s">
        <v>166</v>
      </c>
      <c r="H85" s="69">
        <v>744.67</v>
      </c>
      <c r="I85" s="121">
        <v>7.7</v>
      </c>
      <c r="J85" s="119">
        <f t="shared" si="46"/>
        <v>752.37</v>
      </c>
      <c r="K85" s="61">
        <v>2050</v>
      </c>
      <c r="L85" s="128">
        <f t="shared" si="47"/>
        <v>1947.5</v>
      </c>
      <c r="M85" s="128">
        <v>1200</v>
      </c>
      <c r="N85" s="129">
        <f t="shared" si="48"/>
        <v>1195.1300000000001</v>
      </c>
      <c r="O85" s="138">
        <f t="shared" si="49"/>
        <v>-747.5</v>
      </c>
      <c r="Q85" s="17" t="s">
        <v>161</v>
      </c>
      <c r="R85" s="17"/>
      <c r="S85" s="17"/>
      <c r="T85" s="17"/>
      <c r="U85" s="17"/>
      <c r="V85" s="1"/>
      <c r="W85" s="1"/>
      <c r="X85" s="1"/>
      <c r="Y85" s="1"/>
      <c r="Z85" s="1"/>
      <c r="AA85" s="1"/>
      <c r="AB85" s="1" t="s">
        <v>63</v>
      </c>
      <c r="AC85" s="39">
        <v>770.1</v>
      </c>
      <c r="AD85" s="91">
        <v>2050</v>
      </c>
      <c r="AE85" s="20"/>
      <c r="AG85" s="1"/>
      <c r="AH85" s="1"/>
      <c r="AI85" s="1"/>
      <c r="AJ85" s="1"/>
      <c r="AK85" s="1"/>
      <c r="AL85" s="1"/>
      <c r="AM85" s="1"/>
      <c r="AN85" s="1" t="s">
        <v>63</v>
      </c>
      <c r="AO85" s="91">
        <v>770.1</v>
      </c>
      <c r="AP85" s="39">
        <v>1539</v>
      </c>
      <c r="AQ85" s="16"/>
      <c r="AS85" s="1"/>
      <c r="AT85" s="1"/>
      <c r="AU85" s="1"/>
      <c r="AV85" s="1"/>
      <c r="AW85" s="1"/>
      <c r="AX85" s="1"/>
      <c r="AY85" s="1"/>
      <c r="AZ85" s="1" t="s">
        <v>62</v>
      </c>
      <c r="BA85" s="88">
        <v>320.06</v>
      </c>
      <c r="BB85" s="20">
        <v>253</v>
      </c>
    </row>
    <row r="86" spans="1:54" ht="14.85" customHeight="1" thickBot="1" x14ac:dyDescent="0.3">
      <c r="A86" s="37"/>
      <c r="B86" s="1"/>
      <c r="C86" s="1"/>
      <c r="D86" s="1"/>
      <c r="E86" s="1"/>
      <c r="F86" s="1"/>
      <c r="G86" s="152" t="s">
        <v>167</v>
      </c>
      <c r="H86" s="69">
        <v>380.7</v>
      </c>
      <c r="I86" s="121">
        <v>320.06</v>
      </c>
      <c r="J86" s="119">
        <f t="shared" si="46"/>
        <v>700.76</v>
      </c>
      <c r="K86" s="61">
        <v>820</v>
      </c>
      <c r="L86" s="128">
        <f t="shared" si="47"/>
        <v>779</v>
      </c>
      <c r="M86" s="128">
        <v>800</v>
      </c>
      <c r="N86" s="129">
        <f t="shared" si="48"/>
        <v>78.240000000000009</v>
      </c>
      <c r="O86" s="138">
        <f t="shared" si="49"/>
        <v>21</v>
      </c>
      <c r="Q86" s="17" t="s">
        <v>162</v>
      </c>
      <c r="R86" s="17"/>
      <c r="S86" s="17"/>
      <c r="T86" s="17"/>
      <c r="U86" s="17"/>
      <c r="V86" s="1"/>
      <c r="W86" s="1"/>
      <c r="X86" s="1"/>
      <c r="Y86" s="1"/>
      <c r="Z86" s="1"/>
      <c r="AA86" s="1" t="s">
        <v>64</v>
      </c>
      <c r="AB86" s="1"/>
      <c r="AC86" s="20">
        <f>ROUND(SUM(AC79:AC85),5)</f>
        <v>2891.65</v>
      </c>
      <c r="AD86" s="88">
        <f>ROUND(SUM(AD79:AD85),5)</f>
        <v>8000</v>
      </c>
      <c r="AE86" s="20"/>
      <c r="AG86" s="1"/>
      <c r="AH86" s="1"/>
      <c r="AI86" s="1"/>
      <c r="AJ86" s="1"/>
      <c r="AK86" s="1"/>
      <c r="AL86" s="1"/>
      <c r="AM86" s="1" t="s">
        <v>64</v>
      </c>
      <c r="AN86" s="1"/>
      <c r="AO86" s="88">
        <f>ROUND(SUM(AO79:AO85),5)</f>
        <v>2891.65</v>
      </c>
      <c r="AP86" s="20">
        <f>ROUND(SUM(AP79:AP85),5)</f>
        <v>6003</v>
      </c>
      <c r="AQ86" s="16"/>
      <c r="AS86" s="1"/>
      <c r="AT86" s="1"/>
      <c r="AU86" s="1"/>
      <c r="AV86" s="1"/>
      <c r="AW86" s="1"/>
      <c r="AX86" s="1"/>
      <c r="AY86" s="1"/>
      <c r="AZ86" s="1" t="s">
        <v>63</v>
      </c>
      <c r="BA86" s="91">
        <v>157.97999999999999</v>
      </c>
      <c r="BB86" s="39">
        <v>628</v>
      </c>
    </row>
    <row r="87" spans="1:54" ht="14.85" customHeight="1" thickBot="1" x14ac:dyDescent="0.3">
      <c r="A87" s="37"/>
      <c r="B87" s="1"/>
      <c r="C87" s="1"/>
      <c r="D87" s="1"/>
      <c r="E87" s="1"/>
      <c r="F87" s="1"/>
      <c r="G87" s="152" t="s">
        <v>168</v>
      </c>
      <c r="H87" s="70">
        <v>770.1</v>
      </c>
      <c r="I87" s="123">
        <v>157.97999999999999</v>
      </c>
      <c r="J87" s="120">
        <f t="shared" si="46"/>
        <v>928.08</v>
      </c>
      <c r="K87" s="62">
        <v>2050</v>
      </c>
      <c r="L87" s="127">
        <f t="shared" si="47"/>
        <v>1947.5</v>
      </c>
      <c r="M87" s="127">
        <v>2000</v>
      </c>
      <c r="N87" s="130">
        <f t="shared" si="48"/>
        <v>1019.42</v>
      </c>
      <c r="O87" s="141">
        <f t="shared" si="49"/>
        <v>52.5</v>
      </c>
      <c r="Q87" s="17" t="s">
        <v>163</v>
      </c>
      <c r="R87" s="17"/>
      <c r="S87" s="17"/>
      <c r="T87" s="17"/>
      <c r="U87" s="17"/>
      <c r="V87" s="1"/>
      <c r="W87" s="1"/>
      <c r="X87" s="1"/>
      <c r="Y87" s="1"/>
      <c r="Z87" s="1"/>
      <c r="AA87" s="1" t="s">
        <v>65</v>
      </c>
      <c r="AB87" s="1"/>
      <c r="AC87" s="20"/>
      <c r="AD87" s="88"/>
      <c r="AE87" s="21"/>
      <c r="AG87" s="1"/>
      <c r="AH87" s="1"/>
      <c r="AI87" s="1"/>
      <c r="AJ87" s="1"/>
      <c r="AK87" s="1"/>
      <c r="AL87" s="1"/>
      <c r="AM87" s="1" t="s">
        <v>65</v>
      </c>
      <c r="AN87" s="1"/>
      <c r="AO87" s="88"/>
      <c r="AP87" s="20"/>
      <c r="AQ87" s="16"/>
      <c r="AS87" s="1"/>
      <c r="AT87" s="1"/>
      <c r="AU87" s="1"/>
      <c r="AV87" s="1"/>
      <c r="AW87" s="1"/>
      <c r="AX87" s="1"/>
      <c r="AY87" s="1" t="s">
        <v>64</v>
      </c>
      <c r="AZ87" s="1"/>
      <c r="BA87" s="88">
        <f>ROUND(SUM(BA80:BA86),5)</f>
        <v>784.95</v>
      </c>
      <c r="BB87" s="20">
        <f>ROUND(SUM(BB80:BB86),5)</f>
        <v>2442</v>
      </c>
    </row>
    <row r="88" spans="1:54" s="11" customFormat="1" ht="14.85" customHeight="1" x14ac:dyDescent="0.25">
      <c r="A88" s="37"/>
      <c r="B88" s="13"/>
      <c r="C88" s="13"/>
      <c r="D88" s="13"/>
      <c r="E88" s="13"/>
      <c r="F88" s="13" t="s">
        <v>64</v>
      </c>
      <c r="G88" s="13"/>
      <c r="H88" s="75">
        <f>ROUND(SUM(H81:H87),5)</f>
        <v>2891.65</v>
      </c>
      <c r="I88" s="75">
        <f t="shared" ref="I88:O88" si="50">ROUND(SUM(I81:I87),5)</f>
        <v>784.95</v>
      </c>
      <c r="J88" s="75">
        <f t="shared" si="50"/>
        <v>3676.6</v>
      </c>
      <c r="K88" s="75">
        <f t="shared" si="50"/>
        <v>8000</v>
      </c>
      <c r="L88" s="75">
        <f t="shared" si="50"/>
        <v>7600</v>
      </c>
      <c r="M88" s="75">
        <f t="shared" si="50"/>
        <v>8400</v>
      </c>
      <c r="N88" s="94">
        <f t="shared" si="50"/>
        <v>3923.4</v>
      </c>
      <c r="O88" s="142">
        <f t="shared" si="50"/>
        <v>800</v>
      </c>
      <c r="Q88" s="17"/>
      <c r="R88" s="17"/>
      <c r="S88" s="17"/>
      <c r="T88" s="17"/>
      <c r="U88" s="17"/>
      <c r="V88" s="1"/>
      <c r="W88" s="1"/>
      <c r="X88" s="1"/>
      <c r="Y88" s="1"/>
      <c r="Z88" s="1"/>
      <c r="AA88" s="1"/>
      <c r="AB88" s="1" t="s">
        <v>66</v>
      </c>
      <c r="AC88" s="20">
        <v>1822.2</v>
      </c>
      <c r="AD88" s="88">
        <v>9300</v>
      </c>
      <c r="AE88" s="20"/>
      <c r="AG88" s="1"/>
      <c r="AH88" s="1"/>
      <c r="AI88" s="1"/>
      <c r="AJ88" s="1"/>
      <c r="AK88" s="1"/>
      <c r="AL88" s="1"/>
      <c r="AM88" s="1"/>
      <c r="AN88" s="1" t="s">
        <v>66</v>
      </c>
      <c r="AO88" s="88">
        <v>1347.2</v>
      </c>
      <c r="AP88" s="20">
        <v>6975</v>
      </c>
      <c r="AQ88" s="18"/>
      <c r="AS88" s="1"/>
      <c r="AT88" s="1"/>
      <c r="AU88" s="1"/>
      <c r="AV88" s="1"/>
      <c r="AW88" s="1"/>
      <c r="AX88" s="1"/>
      <c r="AY88" s="1" t="s">
        <v>65</v>
      </c>
      <c r="AZ88" s="1"/>
      <c r="BA88" s="88"/>
      <c r="BB88" s="20"/>
    </row>
    <row r="89" spans="1:54" ht="14.45" customHeight="1" x14ac:dyDescent="0.25">
      <c r="A89" s="37"/>
      <c r="B89" s="1"/>
      <c r="C89" s="1"/>
      <c r="D89" s="1"/>
      <c r="E89" s="1"/>
      <c r="F89" s="1" t="s">
        <v>65</v>
      </c>
      <c r="G89" s="1"/>
      <c r="H89" s="60"/>
      <c r="I89" s="60"/>
      <c r="J89" s="60"/>
      <c r="K89" s="60"/>
      <c r="L89" s="60"/>
      <c r="M89" s="60"/>
      <c r="N89" s="95"/>
      <c r="O89" s="140"/>
      <c r="Q89" s="17"/>
      <c r="R89" s="17"/>
      <c r="S89" s="17"/>
      <c r="T89" s="17"/>
      <c r="U89" s="17"/>
      <c r="V89" s="1"/>
      <c r="W89" s="1"/>
      <c r="X89" s="1"/>
      <c r="Y89" s="1"/>
      <c r="Z89" s="1"/>
      <c r="AA89" s="1"/>
      <c r="AB89" s="1" t="s">
        <v>101</v>
      </c>
      <c r="AC89" s="20">
        <v>2400</v>
      </c>
      <c r="AD89" s="88">
        <v>3600</v>
      </c>
      <c r="AE89" s="20"/>
      <c r="AG89" s="1"/>
      <c r="AH89" s="1"/>
      <c r="AI89" s="1"/>
      <c r="AJ89" s="1"/>
      <c r="AK89" s="1"/>
      <c r="AL89" s="1"/>
      <c r="AM89" s="1"/>
      <c r="AN89" s="1" t="s">
        <v>101</v>
      </c>
      <c r="AO89" s="88">
        <v>2400</v>
      </c>
      <c r="AP89" s="20">
        <v>2700</v>
      </c>
      <c r="AQ89" s="16"/>
      <c r="AS89" s="1"/>
      <c r="AT89" s="1"/>
      <c r="AU89" s="1"/>
      <c r="AV89" s="1"/>
      <c r="AW89" s="1"/>
      <c r="AX89" s="1"/>
      <c r="AY89" s="1"/>
      <c r="AZ89" s="1" t="s">
        <v>66</v>
      </c>
      <c r="BA89" s="88">
        <v>4600</v>
      </c>
      <c r="BB89" s="20">
        <v>1922</v>
      </c>
    </row>
    <row r="90" spans="1:54" ht="14.45" customHeight="1" x14ac:dyDescent="0.25">
      <c r="A90" s="37"/>
      <c r="B90" s="1"/>
      <c r="C90" s="1"/>
      <c r="D90" s="1"/>
      <c r="E90" s="1"/>
      <c r="F90" s="1"/>
      <c r="G90" s="1" t="s">
        <v>66</v>
      </c>
      <c r="H90" s="69">
        <v>1347.2</v>
      </c>
      <c r="I90" s="121">
        <f>4600+2250</f>
        <v>6850</v>
      </c>
      <c r="J90" s="119">
        <f t="shared" ref="J90:J100" si="51">SUM(H90:I90)</f>
        <v>8197.2000000000007</v>
      </c>
      <c r="K90" s="61">
        <v>9300</v>
      </c>
      <c r="L90" s="128">
        <f t="shared" ref="L90:L100" si="52">K90-(K90*0.05)</f>
        <v>8835</v>
      </c>
      <c r="M90" s="128">
        <v>3000</v>
      </c>
      <c r="N90" s="129">
        <f t="shared" ref="N90:N100" si="53">L90-J90</f>
        <v>637.79999999999927</v>
      </c>
      <c r="O90" s="138">
        <f t="shared" ref="O90:O100" si="54">M90-L90</f>
        <v>-5835</v>
      </c>
      <c r="Q90" s="17"/>
      <c r="R90" s="17"/>
      <c r="S90" s="17"/>
      <c r="T90" s="17"/>
      <c r="U90" s="17"/>
      <c r="V90" s="1"/>
      <c r="W90" s="1"/>
      <c r="X90" s="1"/>
      <c r="Y90" s="1"/>
      <c r="Z90" s="1"/>
      <c r="AA90" s="1"/>
      <c r="AB90" s="1" t="s">
        <v>67</v>
      </c>
      <c r="AC90" s="20">
        <v>28620</v>
      </c>
      <c r="AD90" s="88">
        <v>38160</v>
      </c>
      <c r="AE90" s="20"/>
      <c r="AG90" s="1"/>
      <c r="AH90" s="1"/>
      <c r="AI90" s="1"/>
      <c r="AJ90" s="1"/>
      <c r="AK90" s="1"/>
      <c r="AL90" s="1"/>
      <c r="AM90" s="1"/>
      <c r="AN90" s="1" t="s">
        <v>67</v>
      </c>
      <c r="AO90" s="88">
        <v>28620</v>
      </c>
      <c r="AP90" s="20">
        <v>28620</v>
      </c>
      <c r="AQ90" s="16"/>
      <c r="AS90" s="1"/>
      <c r="AT90" s="1"/>
      <c r="AU90" s="1"/>
      <c r="AV90" s="1"/>
      <c r="AW90" s="1"/>
      <c r="AX90" s="1"/>
      <c r="AY90" s="1"/>
      <c r="AZ90" s="1" t="s">
        <v>101</v>
      </c>
      <c r="BA90" s="88">
        <v>900</v>
      </c>
      <c r="BB90" s="20">
        <v>900</v>
      </c>
    </row>
    <row r="91" spans="1:54" ht="14.45" customHeight="1" x14ac:dyDescent="0.25">
      <c r="A91" s="37"/>
      <c r="B91" s="1"/>
      <c r="C91" s="1"/>
      <c r="D91" s="1"/>
      <c r="E91" s="1"/>
      <c r="F91" s="1"/>
      <c r="G91" s="93" t="s">
        <v>141</v>
      </c>
      <c r="H91" s="69"/>
      <c r="I91" s="121"/>
      <c r="J91" s="119"/>
      <c r="K91" s="61"/>
      <c r="L91" s="128"/>
      <c r="M91" s="128">
        <v>3600</v>
      </c>
      <c r="N91" s="129"/>
      <c r="O91" s="138"/>
      <c r="Q91" s="17"/>
      <c r="R91" s="17"/>
      <c r="S91" s="17"/>
      <c r="T91" s="17"/>
      <c r="U91" s="17"/>
      <c r="V91" s="1"/>
      <c r="W91" s="1"/>
      <c r="X91" s="1"/>
      <c r="Y91" s="1"/>
      <c r="Z91" s="1"/>
      <c r="AA91" s="1"/>
      <c r="AB91" s="1" t="s">
        <v>68</v>
      </c>
      <c r="AC91" s="20">
        <v>51150</v>
      </c>
      <c r="AD91" s="88">
        <v>61381</v>
      </c>
      <c r="AE91" s="20"/>
      <c r="AG91" s="1"/>
      <c r="AH91" s="1"/>
      <c r="AI91" s="1"/>
      <c r="AJ91" s="1"/>
      <c r="AK91" s="1"/>
      <c r="AL91" s="1"/>
      <c r="AM91" s="1"/>
      <c r="AN91" s="1" t="s">
        <v>68</v>
      </c>
      <c r="AO91" s="88">
        <v>46035</v>
      </c>
      <c r="AP91" s="20">
        <v>46035</v>
      </c>
      <c r="AQ91" s="16"/>
      <c r="AS91" s="1"/>
      <c r="AT91" s="1"/>
      <c r="AU91" s="1"/>
      <c r="AV91" s="1"/>
      <c r="AW91" s="1"/>
      <c r="AX91" s="1"/>
      <c r="AY91" s="1"/>
      <c r="AZ91" s="1" t="s">
        <v>67</v>
      </c>
      <c r="BA91" s="88">
        <v>9081</v>
      </c>
      <c r="BB91" s="20">
        <v>9081</v>
      </c>
    </row>
    <row r="92" spans="1:54" ht="14.45" customHeight="1" x14ac:dyDescent="0.25">
      <c r="A92" s="37"/>
      <c r="B92" s="1"/>
      <c r="C92" s="1"/>
      <c r="D92" s="1"/>
      <c r="E92" s="1"/>
      <c r="F92" s="1"/>
      <c r="G92" s="93" t="s">
        <v>142</v>
      </c>
      <c r="H92" s="69"/>
      <c r="I92" s="121"/>
      <c r="J92" s="119"/>
      <c r="K92" s="61"/>
      <c r="L92" s="128"/>
      <c r="M92" s="128">
        <v>2400</v>
      </c>
      <c r="N92" s="129"/>
      <c r="O92" s="138"/>
      <c r="Q92" s="17"/>
      <c r="R92" s="17"/>
      <c r="S92" s="17"/>
      <c r="T92" s="17"/>
      <c r="U92" s="17"/>
      <c r="V92" s="1"/>
      <c r="W92" s="1"/>
      <c r="X92" s="1"/>
      <c r="Y92" s="1"/>
      <c r="Z92" s="1"/>
      <c r="AA92" s="1"/>
      <c r="AB92" s="1" t="s">
        <v>69</v>
      </c>
      <c r="AC92" s="20">
        <v>3500</v>
      </c>
      <c r="AD92" s="88">
        <v>4200</v>
      </c>
      <c r="AE92" s="20"/>
      <c r="AG92" s="1"/>
      <c r="AH92" s="1"/>
      <c r="AI92" s="1"/>
      <c r="AJ92" s="1"/>
      <c r="AK92" s="1"/>
      <c r="AL92" s="1"/>
      <c r="AM92" s="1"/>
      <c r="AN92" s="1" t="s">
        <v>69</v>
      </c>
      <c r="AO92" s="88">
        <v>3150</v>
      </c>
      <c r="AP92" s="20">
        <v>3150</v>
      </c>
      <c r="AQ92" s="16"/>
      <c r="AS92" s="1"/>
      <c r="AT92" s="1"/>
      <c r="AU92" s="1"/>
      <c r="AV92" s="1"/>
      <c r="AW92" s="1"/>
      <c r="AX92" s="1"/>
      <c r="AY92" s="1"/>
      <c r="AZ92" s="1" t="s">
        <v>68</v>
      </c>
      <c r="BA92" s="88">
        <v>15346</v>
      </c>
      <c r="BB92" s="20">
        <v>15346</v>
      </c>
    </row>
    <row r="93" spans="1:54" ht="14.45" customHeight="1" x14ac:dyDescent="0.25">
      <c r="A93" s="37"/>
      <c r="B93" s="1"/>
      <c r="C93" s="1"/>
      <c r="D93" s="1"/>
      <c r="E93" s="1"/>
      <c r="F93" s="1"/>
      <c r="G93" s="155" t="s">
        <v>101</v>
      </c>
      <c r="H93" s="69">
        <v>2400</v>
      </c>
      <c r="I93" s="121">
        <v>900</v>
      </c>
      <c r="J93" s="119">
        <f t="shared" si="51"/>
        <v>3300</v>
      </c>
      <c r="K93" s="61">
        <v>3600</v>
      </c>
      <c r="L93" s="128">
        <v>0</v>
      </c>
      <c r="M93" s="128">
        <v>0</v>
      </c>
      <c r="N93" s="129">
        <f t="shared" si="53"/>
        <v>-3300</v>
      </c>
      <c r="O93" s="138">
        <f t="shared" si="54"/>
        <v>0</v>
      </c>
      <c r="Q93" s="17"/>
      <c r="R93" s="17"/>
      <c r="S93" s="17"/>
      <c r="T93" s="17"/>
      <c r="U93" s="17"/>
      <c r="V93" s="1"/>
      <c r="W93" s="1"/>
      <c r="X93" s="1"/>
      <c r="Y93" s="1"/>
      <c r="Z93" s="1"/>
      <c r="AA93" s="1"/>
      <c r="AB93" s="1" t="s">
        <v>70</v>
      </c>
      <c r="AC93" s="20">
        <v>10953</v>
      </c>
      <c r="AD93" s="88">
        <v>14600</v>
      </c>
      <c r="AE93" s="20"/>
      <c r="AG93" s="1"/>
      <c r="AH93" s="1"/>
      <c r="AI93" s="1"/>
      <c r="AJ93" s="1"/>
      <c r="AK93" s="1"/>
      <c r="AL93" s="1"/>
      <c r="AM93" s="1"/>
      <c r="AN93" s="1" t="s">
        <v>70</v>
      </c>
      <c r="AO93" s="88">
        <v>10953</v>
      </c>
      <c r="AP93" s="20">
        <v>10953</v>
      </c>
      <c r="AQ93" s="16"/>
      <c r="AS93" s="1"/>
      <c r="AT93" s="1"/>
      <c r="AU93" s="1"/>
      <c r="AV93" s="1"/>
      <c r="AW93" s="1"/>
      <c r="AX93" s="1"/>
      <c r="AY93" s="1"/>
      <c r="AZ93" s="1" t="s">
        <v>69</v>
      </c>
      <c r="BA93" s="88">
        <v>1050</v>
      </c>
      <c r="BB93" s="20">
        <v>1050</v>
      </c>
    </row>
    <row r="94" spans="1:54" ht="14.45" customHeight="1" x14ac:dyDescent="0.25">
      <c r="A94" s="37"/>
      <c r="B94" s="1"/>
      <c r="C94" s="1"/>
      <c r="D94" s="1"/>
      <c r="E94" s="1"/>
      <c r="F94" s="1"/>
      <c r="G94" s="1" t="s">
        <v>67</v>
      </c>
      <c r="H94" s="69">
        <v>28620</v>
      </c>
      <c r="I94" s="121">
        <v>9081</v>
      </c>
      <c r="J94" s="119">
        <f t="shared" si="51"/>
        <v>37701</v>
      </c>
      <c r="K94" s="61">
        <v>38160</v>
      </c>
      <c r="L94" s="128">
        <f t="shared" si="52"/>
        <v>36252</v>
      </c>
      <c r="M94" s="128">
        <v>36252</v>
      </c>
      <c r="N94" s="129">
        <f t="shared" si="53"/>
        <v>-1449</v>
      </c>
      <c r="O94" s="138">
        <f t="shared" si="54"/>
        <v>0</v>
      </c>
      <c r="Q94" s="17"/>
      <c r="R94" s="17"/>
      <c r="S94" s="17"/>
      <c r="T94" s="17"/>
      <c r="U94" s="17"/>
      <c r="V94" s="1"/>
      <c r="W94" s="1"/>
      <c r="X94" s="1"/>
      <c r="Y94" s="1"/>
      <c r="Z94" s="1"/>
      <c r="AA94" s="1"/>
      <c r="AB94" s="1" t="s">
        <v>119</v>
      </c>
      <c r="AC94" s="20">
        <v>11660</v>
      </c>
      <c r="AD94" s="88">
        <v>14000</v>
      </c>
      <c r="AE94" s="20"/>
      <c r="AG94" s="1"/>
      <c r="AH94" s="1"/>
      <c r="AI94" s="1"/>
      <c r="AJ94" s="1"/>
      <c r="AK94" s="1"/>
      <c r="AL94" s="1"/>
      <c r="AM94" s="1"/>
      <c r="AN94" s="1" t="s">
        <v>119</v>
      </c>
      <c r="AO94" s="88">
        <v>10494</v>
      </c>
      <c r="AP94" s="20">
        <v>10494</v>
      </c>
      <c r="AQ94" s="16"/>
      <c r="AS94" s="1"/>
      <c r="AT94" s="1"/>
      <c r="AU94" s="1"/>
      <c r="AV94" s="1"/>
      <c r="AW94" s="1"/>
      <c r="AX94" s="1"/>
      <c r="AY94" s="1"/>
      <c r="AZ94" s="1" t="s">
        <v>70</v>
      </c>
      <c r="BA94" s="88">
        <v>3647</v>
      </c>
      <c r="BB94" s="20">
        <v>3647</v>
      </c>
    </row>
    <row r="95" spans="1:54" ht="14.45" customHeight="1" x14ac:dyDescent="0.25">
      <c r="A95" s="37"/>
      <c r="B95" s="1"/>
      <c r="C95" s="1"/>
      <c r="D95" s="1"/>
      <c r="E95" s="1"/>
      <c r="F95" s="1"/>
      <c r="G95" s="1" t="s">
        <v>68</v>
      </c>
      <c r="H95" s="69">
        <v>46035</v>
      </c>
      <c r="I95" s="121">
        <v>15346</v>
      </c>
      <c r="J95" s="119">
        <f t="shared" si="51"/>
        <v>61381</v>
      </c>
      <c r="K95" s="61">
        <v>61381</v>
      </c>
      <c r="L95" s="128">
        <f t="shared" si="52"/>
        <v>58311.95</v>
      </c>
      <c r="M95" s="128">
        <v>58312</v>
      </c>
      <c r="N95" s="129">
        <f t="shared" si="53"/>
        <v>-3069.0500000000029</v>
      </c>
      <c r="O95" s="138">
        <f t="shared" si="54"/>
        <v>5.0000000002910383E-2</v>
      </c>
      <c r="Q95" s="23"/>
      <c r="R95" s="23"/>
      <c r="S95" s="23"/>
      <c r="T95" s="23"/>
      <c r="U95" s="23"/>
      <c r="V95" s="1"/>
      <c r="W95" s="1"/>
      <c r="X95" s="1"/>
      <c r="Y95" s="1"/>
      <c r="Z95" s="1"/>
      <c r="AA95" s="1"/>
      <c r="AB95" s="1" t="s">
        <v>107</v>
      </c>
      <c r="AC95" s="20">
        <v>8000</v>
      </c>
      <c r="AD95" s="88">
        <v>8000</v>
      </c>
      <c r="AE95" s="20"/>
      <c r="AG95" s="1"/>
      <c r="AH95" s="1"/>
      <c r="AI95" s="1"/>
      <c r="AJ95" s="1"/>
      <c r="AK95" s="1"/>
      <c r="AL95" s="1"/>
      <c r="AM95" s="1"/>
      <c r="AN95" s="1" t="s">
        <v>107</v>
      </c>
      <c r="AO95" s="88">
        <v>8000</v>
      </c>
      <c r="AP95" s="20">
        <v>6003</v>
      </c>
      <c r="AQ95" s="16"/>
      <c r="AS95" s="1"/>
      <c r="AT95" s="1"/>
      <c r="AU95" s="1"/>
      <c r="AV95" s="1"/>
      <c r="AW95" s="1"/>
      <c r="AX95" s="1"/>
      <c r="AY95" s="1"/>
      <c r="AZ95" s="1" t="s">
        <v>119</v>
      </c>
      <c r="BA95" s="88">
        <v>3750</v>
      </c>
      <c r="BB95" s="20">
        <v>3750</v>
      </c>
    </row>
    <row r="96" spans="1:54" ht="14.45" customHeight="1" thickBot="1" x14ac:dyDescent="0.3">
      <c r="A96" s="37"/>
      <c r="B96" s="1"/>
      <c r="C96" s="1"/>
      <c r="D96" s="1"/>
      <c r="E96" s="1"/>
      <c r="F96" s="1"/>
      <c r="G96" s="1" t="s">
        <v>69</v>
      </c>
      <c r="H96" s="69">
        <v>3150</v>
      </c>
      <c r="I96" s="121">
        <v>1050</v>
      </c>
      <c r="J96" s="119">
        <f t="shared" si="51"/>
        <v>4200</v>
      </c>
      <c r="K96" s="61">
        <v>4200</v>
      </c>
      <c r="L96" s="128">
        <f t="shared" si="52"/>
        <v>3990</v>
      </c>
      <c r="M96" s="128">
        <v>3990</v>
      </c>
      <c r="N96" s="129">
        <f t="shared" si="53"/>
        <v>-210</v>
      </c>
      <c r="O96" s="138">
        <f t="shared" si="54"/>
        <v>0</v>
      </c>
      <c r="Q96" s="23"/>
      <c r="R96" s="23"/>
      <c r="S96" s="23"/>
      <c r="T96" s="23"/>
      <c r="U96" s="23"/>
      <c r="V96" s="1"/>
      <c r="W96" s="1"/>
      <c r="X96" s="1"/>
      <c r="Y96" s="1"/>
      <c r="Z96" s="1"/>
      <c r="AA96" s="1"/>
      <c r="AB96" s="1" t="s">
        <v>71</v>
      </c>
      <c r="AC96" s="39">
        <v>2610</v>
      </c>
      <c r="AD96" s="91">
        <v>3000</v>
      </c>
      <c r="AE96" s="20"/>
      <c r="AG96" s="1"/>
      <c r="AH96" s="1"/>
      <c r="AI96" s="1"/>
      <c r="AJ96" s="1"/>
      <c r="AK96" s="1"/>
      <c r="AL96" s="1"/>
      <c r="AM96" s="1"/>
      <c r="AN96" s="1" t="s">
        <v>71</v>
      </c>
      <c r="AO96" s="91">
        <v>2610</v>
      </c>
      <c r="AP96" s="39">
        <v>2250</v>
      </c>
      <c r="AQ96" s="16"/>
      <c r="AS96" s="1"/>
      <c r="AT96" s="1"/>
      <c r="AU96" s="1"/>
      <c r="AV96" s="1"/>
      <c r="AW96" s="1"/>
      <c r="AX96" s="1"/>
      <c r="AY96" s="1"/>
      <c r="AZ96" s="1" t="s">
        <v>107</v>
      </c>
      <c r="BA96" s="88">
        <v>0</v>
      </c>
      <c r="BB96" s="20">
        <v>1753</v>
      </c>
    </row>
    <row r="97" spans="1:54" ht="14.45" customHeight="1" thickBot="1" x14ac:dyDescent="0.3">
      <c r="A97" s="37"/>
      <c r="B97" s="1"/>
      <c r="C97" s="1"/>
      <c r="D97" s="1"/>
      <c r="E97" s="1"/>
      <c r="F97" s="1"/>
      <c r="G97" s="1" t="s">
        <v>70</v>
      </c>
      <c r="H97" s="69">
        <v>10953</v>
      </c>
      <c r="I97" s="121">
        <v>3647</v>
      </c>
      <c r="J97" s="119">
        <f t="shared" si="51"/>
        <v>14600</v>
      </c>
      <c r="K97" s="61">
        <v>14600</v>
      </c>
      <c r="L97" s="128">
        <f t="shared" si="52"/>
        <v>13870</v>
      </c>
      <c r="M97" s="128">
        <v>15000</v>
      </c>
      <c r="N97" s="129">
        <f t="shared" si="53"/>
        <v>-730</v>
      </c>
      <c r="O97" s="138">
        <f t="shared" si="54"/>
        <v>1130</v>
      </c>
      <c r="Q97" s="5"/>
      <c r="R97" s="5"/>
      <c r="S97" s="5"/>
      <c r="T97" s="5"/>
      <c r="U97" s="5"/>
      <c r="V97" s="1"/>
      <c r="W97" s="1"/>
      <c r="X97" s="1"/>
      <c r="Y97" s="1"/>
      <c r="Z97" s="1"/>
      <c r="AA97" s="1" t="s">
        <v>72</v>
      </c>
      <c r="AB97" s="1"/>
      <c r="AC97" s="20">
        <f>ROUND(SUM(AC87:AC96),5)</f>
        <v>120715.2</v>
      </c>
      <c r="AD97" s="88">
        <f>ROUND(SUM(AD87:AD96),5)</f>
        <v>156241</v>
      </c>
      <c r="AE97" s="20"/>
      <c r="AG97" s="1"/>
      <c r="AH97" s="1"/>
      <c r="AI97" s="1"/>
      <c r="AJ97" s="1"/>
      <c r="AK97" s="1"/>
      <c r="AL97" s="1"/>
      <c r="AM97" s="1" t="s">
        <v>72</v>
      </c>
      <c r="AN97" s="1"/>
      <c r="AO97" s="88">
        <f>ROUND(SUM(AO87:AO96),5)</f>
        <v>113609.2</v>
      </c>
      <c r="AP97" s="20">
        <f>ROUND(SUM(AP87:AP96),5)</f>
        <v>117180</v>
      </c>
      <c r="AQ97" s="16"/>
      <c r="AS97" s="1"/>
      <c r="AT97" s="1"/>
      <c r="AU97" s="1"/>
      <c r="AV97" s="1"/>
      <c r="AW97" s="1"/>
      <c r="AX97" s="1"/>
      <c r="AY97" s="1"/>
      <c r="AZ97" s="1" t="s">
        <v>71</v>
      </c>
      <c r="BA97" s="91">
        <v>750</v>
      </c>
      <c r="BB97" s="39">
        <v>750</v>
      </c>
    </row>
    <row r="98" spans="1:54" ht="14.45" customHeight="1" x14ac:dyDescent="0.25">
      <c r="A98" s="37"/>
      <c r="B98" s="1"/>
      <c r="C98" s="1"/>
      <c r="D98" s="1"/>
      <c r="E98" s="1"/>
      <c r="F98" s="1"/>
      <c r="G98" s="1" t="s">
        <v>119</v>
      </c>
      <c r="H98" s="69">
        <v>10494</v>
      </c>
      <c r="I98" s="121">
        <f>1166+1166+1166+8</f>
        <v>3506</v>
      </c>
      <c r="J98" s="119">
        <f t="shared" si="51"/>
        <v>14000</v>
      </c>
      <c r="K98" s="61">
        <v>14000</v>
      </c>
      <c r="L98" s="128">
        <f t="shared" si="52"/>
        <v>13300</v>
      </c>
      <c r="M98" s="128">
        <v>13200</v>
      </c>
      <c r="N98" s="129">
        <f t="shared" si="53"/>
        <v>-700</v>
      </c>
      <c r="O98" s="138">
        <f t="shared" si="54"/>
        <v>-100</v>
      </c>
      <c r="Q98" s="17"/>
      <c r="R98" s="17"/>
      <c r="S98" s="17"/>
      <c r="T98" s="17"/>
      <c r="U98" s="17"/>
      <c r="V98" s="1"/>
      <c r="W98" s="1"/>
      <c r="X98" s="1"/>
      <c r="Y98" s="1"/>
      <c r="Z98" s="1"/>
      <c r="AA98" s="1" t="s">
        <v>73</v>
      </c>
      <c r="AB98" s="1"/>
      <c r="AC98" s="20"/>
      <c r="AD98" s="88"/>
      <c r="AE98" s="20"/>
      <c r="AG98" s="1"/>
      <c r="AH98" s="1"/>
      <c r="AI98" s="1"/>
      <c r="AJ98" s="1"/>
      <c r="AK98" s="1"/>
      <c r="AL98" s="1"/>
      <c r="AM98" s="1" t="s">
        <v>73</v>
      </c>
      <c r="AN98" s="1"/>
      <c r="AO98" s="88"/>
      <c r="AP98" s="20"/>
      <c r="AQ98" s="16"/>
      <c r="AS98" s="1"/>
      <c r="AT98" s="1"/>
      <c r="AU98" s="1"/>
      <c r="AV98" s="1"/>
      <c r="AW98" s="1"/>
      <c r="AX98" s="1"/>
      <c r="AY98" s="1" t="s">
        <v>72</v>
      </c>
      <c r="AZ98" s="1"/>
      <c r="BA98" s="88">
        <f>ROUND(SUM(BA88:BA97),5)</f>
        <v>39124</v>
      </c>
      <c r="BB98" s="20">
        <f>ROUND(SUM(BB88:BB97),5)</f>
        <v>38199</v>
      </c>
    </row>
    <row r="99" spans="1:54" ht="14.45" customHeight="1" x14ac:dyDescent="0.25">
      <c r="A99" s="37"/>
      <c r="B99" s="1"/>
      <c r="C99" s="1"/>
      <c r="D99" s="1"/>
      <c r="E99" s="1"/>
      <c r="F99" s="1"/>
      <c r="G99" s="1" t="s">
        <v>107</v>
      </c>
      <c r="H99" s="67">
        <v>8000</v>
      </c>
      <c r="I99" s="121">
        <v>0</v>
      </c>
      <c r="J99" s="119">
        <f t="shared" si="51"/>
        <v>8000</v>
      </c>
      <c r="K99" s="61">
        <v>8000</v>
      </c>
      <c r="L99" s="128">
        <f t="shared" si="52"/>
        <v>7600</v>
      </c>
      <c r="M99" s="128">
        <v>9000</v>
      </c>
      <c r="N99" s="129">
        <f t="shared" si="53"/>
        <v>-400</v>
      </c>
      <c r="O99" s="138">
        <f t="shared" si="54"/>
        <v>1400</v>
      </c>
      <c r="Q99" s="17"/>
      <c r="R99" s="17"/>
      <c r="S99" s="17"/>
      <c r="T99" s="17"/>
      <c r="U99" s="17"/>
      <c r="V99" s="1"/>
      <c r="W99" s="1"/>
      <c r="X99" s="1"/>
      <c r="Y99" s="1"/>
      <c r="Z99" s="1"/>
      <c r="AA99" s="1"/>
      <c r="AB99" s="1" t="s">
        <v>102</v>
      </c>
      <c r="AC99" s="20">
        <v>1264.55</v>
      </c>
      <c r="AD99" s="88">
        <v>3000</v>
      </c>
      <c r="AE99" s="20"/>
      <c r="AG99" s="1"/>
      <c r="AH99" s="1"/>
      <c r="AI99" s="1"/>
      <c r="AJ99" s="1"/>
      <c r="AK99" s="1"/>
      <c r="AL99" s="1"/>
      <c r="AM99" s="1"/>
      <c r="AN99" s="1" t="s">
        <v>102</v>
      </c>
      <c r="AO99" s="88">
        <v>1164.55</v>
      </c>
      <c r="AP99" s="20">
        <v>2250</v>
      </c>
      <c r="AQ99" s="16"/>
      <c r="AS99" s="1"/>
      <c r="AT99" s="1"/>
      <c r="AU99" s="1"/>
      <c r="AV99" s="1"/>
      <c r="AW99" s="1"/>
      <c r="AX99" s="1"/>
      <c r="AY99" s="1" t="s">
        <v>73</v>
      </c>
      <c r="AZ99" s="1"/>
      <c r="BA99" s="88"/>
      <c r="BB99" s="20"/>
    </row>
    <row r="100" spans="1:54" ht="14.45" customHeight="1" thickBot="1" x14ac:dyDescent="0.3">
      <c r="A100" s="37"/>
      <c r="B100" s="1"/>
      <c r="C100" s="1"/>
      <c r="D100" s="1"/>
      <c r="E100" s="1"/>
      <c r="F100" s="1"/>
      <c r="G100" s="1" t="s">
        <v>170</v>
      </c>
      <c r="H100" s="70">
        <v>2610</v>
      </c>
      <c r="I100" s="123">
        <v>750</v>
      </c>
      <c r="J100" s="120">
        <f t="shared" si="51"/>
        <v>3360</v>
      </c>
      <c r="K100" s="62">
        <v>3000</v>
      </c>
      <c r="L100" s="127">
        <f t="shared" si="52"/>
        <v>2850</v>
      </c>
      <c r="M100" s="127">
        <v>1500</v>
      </c>
      <c r="N100" s="130">
        <f t="shared" si="53"/>
        <v>-510</v>
      </c>
      <c r="O100" s="141">
        <f t="shared" si="54"/>
        <v>-1350</v>
      </c>
      <c r="Q100" s="17"/>
      <c r="R100" s="17"/>
      <c r="S100" s="17"/>
      <c r="T100" s="17"/>
      <c r="U100" s="17"/>
      <c r="V100" s="1"/>
      <c r="W100" s="1"/>
      <c r="X100" s="1"/>
      <c r="Y100" s="1"/>
      <c r="Z100" s="1"/>
      <c r="AA100" s="1"/>
      <c r="AB100" s="1" t="s">
        <v>103</v>
      </c>
      <c r="AC100" s="20">
        <v>220</v>
      </c>
      <c r="AD100" s="88">
        <v>500</v>
      </c>
      <c r="AE100" s="21"/>
      <c r="AG100" s="1"/>
      <c r="AH100" s="1"/>
      <c r="AI100" s="1"/>
      <c r="AJ100" s="1"/>
      <c r="AK100" s="1"/>
      <c r="AL100" s="1"/>
      <c r="AM100" s="1"/>
      <c r="AN100" s="1" t="s">
        <v>103</v>
      </c>
      <c r="AO100" s="88">
        <v>220</v>
      </c>
      <c r="AP100" s="20">
        <v>378</v>
      </c>
      <c r="AQ100" s="16"/>
      <c r="AS100" s="1"/>
      <c r="AT100" s="1"/>
      <c r="AU100" s="1"/>
      <c r="AV100" s="1"/>
      <c r="AW100" s="1"/>
      <c r="AX100" s="1"/>
      <c r="AY100" s="1"/>
      <c r="AZ100" s="1" t="s">
        <v>102</v>
      </c>
      <c r="BA100" s="88">
        <v>917</v>
      </c>
      <c r="BB100" s="20">
        <v>750</v>
      </c>
    </row>
    <row r="101" spans="1:54" s="11" customFormat="1" ht="14.85" customHeight="1" x14ac:dyDescent="0.25">
      <c r="A101" s="37"/>
      <c r="B101" s="13"/>
      <c r="C101" s="13"/>
      <c r="D101" s="13"/>
      <c r="E101" s="13"/>
      <c r="F101" s="13" t="s">
        <v>72</v>
      </c>
      <c r="G101" s="13"/>
      <c r="H101" s="75">
        <f>ROUND(SUM(H89:H100),5)</f>
        <v>113609.2</v>
      </c>
      <c r="I101" s="75">
        <f t="shared" ref="I101:O101" si="55">ROUND(SUM(I89:I100),5)</f>
        <v>41130</v>
      </c>
      <c r="J101" s="75">
        <f t="shared" si="55"/>
        <v>154739.20000000001</v>
      </c>
      <c r="K101" s="75">
        <f t="shared" si="55"/>
        <v>156241</v>
      </c>
      <c r="L101" s="75">
        <f t="shared" si="55"/>
        <v>145008.95000000001</v>
      </c>
      <c r="M101" s="75">
        <f t="shared" si="55"/>
        <v>146254</v>
      </c>
      <c r="N101" s="94">
        <f t="shared" si="55"/>
        <v>-9730.25</v>
      </c>
      <c r="O101" s="142">
        <f t="shared" si="55"/>
        <v>-4754.95</v>
      </c>
      <c r="Q101" s="17"/>
      <c r="R101" s="17"/>
      <c r="S101" s="17"/>
      <c r="T101" s="17"/>
      <c r="U101" s="17"/>
      <c r="V101" s="1"/>
      <c r="W101" s="1"/>
      <c r="X101" s="1"/>
      <c r="Y101" s="1"/>
      <c r="Z101" s="1"/>
      <c r="AA101" s="1"/>
      <c r="AB101" s="1" t="s">
        <v>74</v>
      </c>
      <c r="AC101" s="20">
        <v>-266.68</v>
      </c>
      <c r="AD101" s="88">
        <v>3600</v>
      </c>
      <c r="AE101" s="20"/>
      <c r="AG101" s="1"/>
      <c r="AH101" s="1"/>
      <c r="AI101" s="1"/>
      <c r="AJ101" s="1"/>
      <c r="AK101" s="1"/>
      <c r="AL101" s="1"/>
      <c r="AM101" s="1"/>
      <c r="AN101" s="1" t="s">
        <v>74</v>
      </c>
      <c r="AO101" s="88">
        <v>33.32</v>
      </c>
      <c r="AP101" s="20">
        <v>2700</v>
      </c>
      <c r="AQ101" s="18"/>
      <c r="AS101" s="1"/>
      <c r="AT101" s="1"/>
      <c r="AU101" s="1"/>
      <c r="AV101" s="1"/>
      <c r="AW101" s="1"/>
      <c r="AX101" s="1"/>
      <c r="AY101" s="1"/>
      <c r="AZ101" s="1" t="s">
        <v>103</v>
      </c>
      <c r="BA101" s="88">
        <v>460</v>
      </c>
      <c r="BB101" s="20">
        <v>122</v>
      </c>
    </row>
    <row r="102" spans="1:54" ht="27.75" customHeight="1" x14ac:dyDescent="0.25">
      <c r="A102" s="37"/>
      <c r="B102" s="1"/>
      <c r="C102" s="1"/>
      <c r="D102" s="1"/>
      <c r="E102" s="1"/>
      <c r="F102" s="1" t="s">
        <v>73</v>
      </c>
      <c r="G102" s="1"/>
      <c r="H102" s="60"/>
      <c r="I102" s="60"/>
      <c r="J102" s="60"/>
      <c r="K102" s="60"/>
      <c r="L102" s="60"/>
      <c r="M102" s="60"/>
      <c r="N102" s="95"/>
      <c r="O102" s="140"/>
      <c r="Q102" s="17"/>
      <c r="R102" s="17"/>
      <c r="S102" s="17"/>
      <c r="T102" s="17"/>
      <c r="U102" s="17"/>
      <c r="V102" s="1"/>
      <c r="W102" s="1"/>
      <c r="X102" s="1"/>
      <c r="Y102" s="1"/>
      <c r="Z102" s="1"/>
      <c r="AA102" s="1"/>
      <c r="AB102" s="1" t="s">
        <v>75</v>
      </c>
      <c r="AC102" s="20">
        <v>250</v>
      </c>
      <c r="AD102" s="88">
        <v>700</v>
      </c>
      <c r="AE102" s="20"/>
      <c r="AG102" s="1"/>
      <c r="AH102" s="1"/>
      <c r="AI102" s="1"/>
      <c r="AJ102" s="1"/>
      <c r="AK102" s="1"/>
      <c r="AL102" s="1"/>
      <c r="AM102" s="1"/>
      <c r="AN102" s="1" t="s">
        <v>75</v>
      </c>
      <c r="AO102" s="88">
        <v>100</v>
      </c>
      <c r="AP102" s="20">
        <v>522</v>
      </c>
      <c r="AQ102" s="16"/>
      <c r="AS102" s="1"/>
      <c r="AT102" s="1"/>
      <c r="AU102" s="1"/>
      <c r="AV102" s="1"/>
      <c r="AW102" s="1"/>
      <c r="AX102" s="1"/>
      <c r="AY102" s="1"/>
      <c r="AZ102" s="1" t="s">
        <v>74</v>
      </c>
      <c r="BA102" s="88">
        <v>2260.9699999999998</v>
      </c>
      <c r="BB102" s="20">
        <v>1097</v>
      </c>
    </row>
    <row r="103" spans="1:54" ht="14.45" customHeight="1" x14ac:dyDescent="0.25">
      <c r="A103" s="37"/>
      <c r="B103" s="1"/>
      <c r="C103" s="1"/>
      <c r="D103" s="1"/>
      <c r="E103" s="1"/>
      <c r="F103" s="1"/>
      <c r="G103" s="1" t="s">
        <v>102</v>
      </c>
      <c r="H103" s="69">
        <v>1164.55</v>
      </c>
      <c r="I103" s="121">
        <v>917</v>
      </c>
      <c r="J103" s="119">
        <f t="shared" ref="J103:J112" si="56">SUM(H103:I103)</f>
        <v>2081.5500000000002</v>
      </c>
      <c r="K103" s="61">
        <v>3000</v>
      </c>
      <c r="L103" s="128">
        <f t="shared" ref="L103:L112" si="57">K103-(K103*0.05)</f>
        <v>2850</v>
      </c>
      <c r="M103" s="128">
        <v>2850</v>
      </c>
      <c r="N103" s="129">
        <f t="shared" ref="N103:N112" si="58">L103-J103</f>
        <v>768.44999999999982</v>
      </c>
      <c r="O103" s="138">
        <f t="shared" ref="O103:O112" si="59">M103-L103</f>
        <v>0</v>
      </c>
      <c r="Q103" s="17"/>
      <c r="R103" s="17"/>
      <c r="S103" s="17"/>
      <c r="T103" s="17"/>
      <c r="U103" s="17"/>
      <c r="V103" s="1"/>
      <c r="W103" s="1"/>
      <c r="X103" s="1"/>
      <c r="Y103" s="1"/>
      <c r="Z103" s="1"/>
      <c r="AA103" s="1"/>
      <c r="AB103" s="1" t="s">
        <v>76</v>
      </c>
      <c r="AC103" s="20">
        <v>0</v>
      </c>
      <c r="AD103" s="88">
        <v>300</v>
      </c>
      <c r="AE103" s="20"/>
      <c r="AG103" s="1"/>
      <c r="AH103" s="1"/>
      <c r="AI103" s="1"/>
      <c r="AJ103" s="1"/>
      <c r="AK103" s="1"/>
      <c r="AL103" s="1"/>
      <c r="AM103" s="1"/>
      <c r="AN103" s="1" t="s">
        <v>76</v>
      </c>
      <c r="AO103" s="88">
        <v>0</v>
      </c>
      <c r="AP103" s="20">
        <v>225</v>
      </c>
      <c r="AQ103" s="16"/>
      <c r="AS103" s="1"/>
      <c r="AT103" s="1"/>
      <c r="AU103" s="1"/>
      <c r="AV103" s="1"/>
      <c r="AW103" s="1"/>
      <c r="AX103" s="1"/>
      <c r="AY103" s="1"/>
      <c r="AZ103" s="1" t="s">
        <v>75</v>
      </c>
      <c r="BA103" s="88">
        <v>300</v>
      </c>
      <c r="BB103" s="20">
        <v>253</v>
      </c>
    </row>
    <row r="104" spans="1:54" ht="14.45" customHeight="1" x14ac:dyDescent="0.25">
      <c r="A104" s="37"/>
      <c r="B104" s="1"/>
      <c r="C104" s="1"/>
      <c r="D104" s="1"/>
      <c r="E104" s="1"/>
      <c r="F104" s="1"/>
      <c r="G104" s="1" t="s">
        <v>103</v>
      </c>
      <c r="H104" s="69">
        <v>220</v>
      </c>
      <c r="I104" s="121">
        <v>460</v>
      </c>
      <c r="J104" s="119">
        <f t="shared" si="56"/>
        <v>680</v>
      </c>
      <c r="K104" s="61">
        <v>500</v>
      </c>
      <c r="L104" s="128">
        <f t="shared" si="57"/>
        <v>475</v>
      </c>
      <c r="M104" s="128">
        <v>475</v>
      </c>
      <c r="N104" s="129">
        <f t="shared" si="58"/>
        <v>-205</v>
      </c>
      <c r="O104" s="138">
        <f t="shared" si="59"/>
        <v>0</v>
      </c>
      <c r="Q104" s="17"/>
      <c r="R104" s="17"/>
      <c r="S104" s="17"/>
      <c r="T104" s="17"/>
      <c r="U104" s="17"/>
      <c r="V104" s="1"/>
      <c r="W104" s="1"/>
      <c r="X104" s="1"/>
      <c r="Y104" s="1"/>
      <c r="Z104" s="1"/>
      <c r="AA104" s="1"/>
      <c r="AB104" s="1" t="s">
        <v>96</v>
      </c>
      <c r="AC104" s="20">
        <v>1421.27</v>
      </c>
      <c r="AD104" s="88">
        <v>4300</v>
      </c>
      <c r="AE104" s="20"/>
      <c r="AG104" s="1"/>
      <c r="AH104" s="1"/>
      <c r="AI104" s="1"/>
      <c r="AJ104" s="1"/>
      <c r="AK104" s="1"/>
      <c r="AL104" s="1"/>
      <c r="AM104" s="1"/>
      <c r="AN104" s="1" t="s">
        <v>96</v>
      </c>
      <c r="AO104" s="88">
        <v>1421.27</v>
      </c>
      <c r="AP104" s="20">
        <v>3222</v>
      </c>
      <c r="AQ104" s="16"/>
      <c r="AS104" s="1"/>
      <c r="AT104" s="1"/>
      <c r="AU104" s="1"/>
      <c r="AV104" s="1"/>
      <c r="AW104" s="1"/>
      <c r="AX104" s="1"/>
      <c r="AY104" s="1"/>
      <c r="AZ104" s="1" t="s">
        <v>76</v>
      </c>
      <c r="BA104" s="88">
        <v>0</v>
      </c>
      <c r="BB104" s="20">
        <v>75</v>
      </c>
    </row>
    <row r="105" spans="1:54" ht="14.45" customHeight="1" x14ac:dyDescent="0.25">
      <c r="A105" s="37"/>
      <c r="B105" s="1"/>
      <c r="C105" s="1"/>
      <c r="D105" s="1"/>
      <c r="E105" s="1"/>
      <c r="F105" s="1"/>
      <c r="G105" s="1" t="s">
        <v>74</v>
      </c>
      <c r="H105" s="69">
        <v>33.32</v>
      </c>
      <c r="I105" s="121">
        <v>2260.9699999999998</v>
      </c>
      <c r="J105" s="119">
        <f t="shared" si="56"/>
        <v>2294.29</v>
      </c>
      <c r="K105" s="61">
        <v>3600</v>
      </c>
      <c r="L105" s="128">
        <f t="shared" si="57"/>
        <v>3420</v>
      </c>
      <c r="M105" s="128">
        <v>3420</v>
      </c>
      <c r="N105" s="129">
        <f t="shared" si="58"/>
        <v>1125.71</v>
      </c>
      <c r="O105" s="138">
        <f t="shared" si="59"/>
        <v>0</v>
      </c>
      <c r="Q105" s="17"/>
      <c r="R105" s="17"/>
      <c r="S105" s="17"/>
      <c r="T105" s="17"/>
      <c r="U105" s="17"/>
      <c r="V105" s="1"/>
      <c r="W105" s="1"/>
      <c r="X105" s="1"/>
      <c r="Y105" s="1"/>
      <c r="Z105" s="1"/>
      <c r="AA105" s="1"/>
      <c r="AB105" s="1" t="s">
        <v>77</v>
      </c>
      <c r="AC105" s="20">
        <v>572.71</v>
      </c>
      <c r="AD105" s="88">
        <v>1500</v>
      </c>
      <c r="AE105" s="20"/>
      <c r="AG105" s="1"/>
      <c r="AH105" s="1"/>
      <c r="AI105" s="1"/>
      <c r="AJ105" s="1"/>
      <c r="AK105" s="1"/>
      <c r="AL105" s="1"/>
      <c r="AM105" s="1"/>
      <c r="AN105" s="1" t="s">
        <v>77</v>
      </c>
      <c r="AO105" s="88">
        <v>572.71</v>
      </c>
      <c r="AP105" s="20">
        <v>1125</v>
      </c>
      <c r="AQ105" s="16"/>
      <c r="AS105" s="1"/>
      <c r="AT105" s="1"/>
      <c r="AU105" s="1"/>
      <c r="AV105" s="1"/>
      <c r="AW105" s="1"/>
      <c r="AX105" s="1"/>
      <c r="AY105" s="1"/>
      <c r="AZ105" s="1" t="s">
        <v>96</v>
      </c>
      <c r="BA105" s="88">
        <v>76</v>
      </c>
      <c r="BB105" s="20">
        <v>1078</v>
      </c>
    </row>
    <row r="106" spans="1:54" ht="14.45" customHeight="1" x14ac:dyDescent="0.25">
      <c r="A106" s="37"/>
      <c r="B106" s="1"/>
      <c r="C106" s="1"/>
      <c r="D106" s="1"/>
      <c r="E106" s="1"/>
      <c r="F106" s="1"/>
      <c r="G106" s="1" t="s">
        <v>75</v>
      </c>
      <c r="H106" s="69">
        <v>100</v>
      </c>
      <c r="I106" s="121">
        <v>300</v>
      </c>
      <c r="J106" s="119">
        <f t="shared" si="56"/>
        <v>400</v>
      </c>
      <c r="K106" s="61">
        <v>700</v>
      </c>
      <c r="L106" s="128">
        <f t="shared" si="57"/>
        <v>665</v>
      </c>
      <c r="M106" s="128">
        <f>140*12</f>
        <v>1680</v>
      </c>
      <c r="N106" s="129">
        <f t="shared" si="58"/>
        <v>265</v>
      </c>
      <c r="O106" s="138">
        <f t="shared" si="59"/>
        <v>1015</v>
      </c>
      <c r="P106" s="11"/>
      <c r="Q106" s="153" t="s">
        <v>181</v>
      </c>
      <c r="R106" s="17"/>
      <c r="S106" s="17"/>
      <c r="T106" s="17"/>
      <c r="U106" s="17"/>
      <c r="V106" s="1"/>
      <c r="W106" s="1"/>
      <c r="X106" s="1"/>
      <c r="Y106" s="1"/>
      <c r="Z106" s="1"/>
      <c r="AA106" s="1"/>
      <c r="AB106" s="1" t="s">
        <v>94</v>
      </c>
      <c r="AC106" s="20">
        <v>124.49</v>
      </c>
      <c r="AD106" s="88">
        <v>600</v>
      </c>
      <c r="AE106" s="20"/>
      <c r="AG106" s="1"/>
      <c r="AH106" s="1"/>
      <c r="AI106" s="1"/>
      <c r="AJ106" s="1"/>
      <c r="AK106" s="1"/>
      <c r="AL106" s="1"/>
      <c r="AM106" s="1"/>
      <c r="AN106" s="1" t="s">
        <v>94</v>
      </c>
      <c r="AO106" s="88">
        <v>124.49</v>
      </c>
      <c r="AP106" s="20">
        <v>450</v>
      </c>
      <c r="AQ106" s="16"/>
      <c r="AS106" s="1"/>
      <c r="AT106" s="1"/>
      <c r="AU106" s="1"/>
      <c r="AV106" s="1"/>
      <c r="AW106" s="1"/>
      <c r="AX106" s="1"/>
      <c r="AY106" s="1"/>
      <c r="AZ106" s="1" t="s">
        <v>77</v>
      </c>
      <c r="BA106" s="88">
        <v>161.88</v>
      </c>
      <c r="BB106" s="20">
        <v>375</v>
      </c>
    </row>
    <row r="107" spans="1:54" ht="14.45" customHeight="1" thickBot="1" x14ac:dyDescent="0.3">
      <c r="A107" s="37"/>
      <c r="B107" s="1"/>
      <c r="C107" s="1"/>
      <c r="D107" s="1"/>
      <c r="E107" s="1"/>
      <c r="F107" s="1"/>
      <c r="G107" s="1" t="s">
        <v>76</v>
      </c>
      <c r="H107" s="69">
        <v>0</v>
      </c>
      <c r="I107" s="121">
        <v>0</v>
      </c>
      <c r="J107" s="119">
        <f t="shared" si="56"/>
        <v>0</v>
      </c>
      <c r="K107" s="61">
        <v>300</v>
      </c>
      <c r="L107" s="128">
        <f t="shared" si="57"/>
        <v>285</v>
      </c>
      <c r="M107" s="128">
        <v>285</v>
      </c>
      <c r="N107" s="129">
        <f t="shared" si="58"/>
        <v>285</v>
      </c>
      <c r="O107" s="138">
        <f t="shared" si="59"/>
        <v>0</v>
      </c>
      <c r="P107" s="11"/>
      <c r="Q107" s="17"/>
      <c r="R107" s="17"/>
      <c r="S107" s="17"/>
      <c r="T107" s="17"/>
      <c r="U107" s="17"/>
      <c r="V107" s="1"/>
      <c r="W107" s="1"/>
      <c r="X107" s="1"/>
      <c r="Y107" s="1"/>
      <c r="Z107" s="1"/>
      <c r="AA107" s="1"/>
      <c r="AB107" s="1" t="s">
        <v>105</v>
      </c>
      <c r="AC107" s="39">
        <v>0</v>
      </c>
      <c r="AD107" s="91">
        <v>100</v>
      </c>
      <c r="AE107" s="20"/>
      <c r="AG107" s="1"/>
      <c r="AH107" s="1"/>
      <c r="AI107" s="1"/>
      <c r="AJ107" s="1"/>
      <c r="AK107" s="1"/>
      <c r="AL107" s="1"/>
      <c r="AM107" s="1"/>
      <c r="AN107" s="1" t="s">
        <v>105</v>
      </c>
      <c r="AO107" s="91">
        <v>0</v>
      </c>
      <c r="AP107" s="39">
        <v>72</v>
      </c>
      <c r="AQ107" s="16"/>
      <c r="AS107" s="1"/>
      <c r="AT107" s="1"/>
      <c r="AU107" s="1"/>
      <c r="AV107" s="1"/>
      <c r="AW107" s="1"/>
      <c r="AX107" s="1"/>
      <c r="AY107" s="1"/>
      <c r="AZ107" s="1" t="s">
        <v>94</v>
      </c>
      <c r="BA107" s="88">
        <v>20</v>
      </c>
      <c r="BB107" s="20">
        <v>253</v>
      </c>
    </row>
    <row r="108" spans="1:54" ht="14.45" customHeight="1" thickBot="1" x14ac:dyDescent="0.3">
      <c r="A108" s="37"/>
      <c r="B108" s="1"/>
      <c r="C108" s="1"/>
      <c r="D108" s="1"/>
      <c r="E108" s="1"/>
      <c r="F108" s="1"/>
      <c r="G108" s="1" t="s">
        <v>96</v>
      </c>
      <c r="H108" s="69">
        <v>1421.27</v>
      </c>
      <c r="I108" s="121">
        <v>76</v>
      </c>
      <c r="J108" s="119">
        <f t="shared" si="56"/>
        <v>1497.27</v>
      </c>
      <c r="K108" s="61">
        <v>4300</v>
      </c>
      <c r="L108" s="128">
        <f t="shared" si="57"/>
        <v>4085</v>
      </c>
      <c r="M108" s="128">
        <f>4085-1085</f>
        <v>3000</v>
      </c>
      <c r="N108" s="129">
        <f t="shared" si="58"/>
        <v>2587.73</v>
      </c>
      <c r="O108" s="138">
        <f t="shared" si="59"/>
        <v>-1085</v>
      </c>
      <c r="P108" s="11"/>
      <c r="Q108" s="17"/>
      <c r="R108" s="17"/>
      <c r="S108" s="17"/>
      <c r="T108" s="17"/>
      <c r="U108" s="17"/>
      <c r="V108" s="1"/>
      <c r="W108" s="1"/>
      <c r="X108" s="1"/>
      <c r="Y108" s="1"/>
      <c r="Z108" s="1"/>
      <c r="AA108" s="1" t="s">
        <v>78</v>
      </c>
      <c r="AB108" s="1"/>
      <c r="AC108" s="20">
        <f>ROUND(SUM(AC98:AC107),5)</f>
        <v>3586.34</v>
      </c>
      <c r="AD108" s="88">
        <f>ROUND(SUM(AD98:AD107),5)</f>
        <v>14600</v>
      </c>
      <c r="AE108" s="20"/>
      <c r="AG108" s="1"/>
      <c r="AH108" s="1"/>
      <c r="AI108" s="1"/>
      <c r="AJ108" s="1"/>
      <c r="AK108" s="1"/>
      <c r="AL108" s="1"/>
      <c r="AM108" s="1" t="s">
        <v>78</v>
      </c>
      <c r="AN108" s="1"/>
      <c r="AO108" s="88">
        <f>ROUND(SUM(AO98:AO107),5)</f>
        <v>3636.34</v>
      </c>
      <c r="AP108" s="20">
        <f>ROUND(SUM(AP98:AP107),5)</f>
        <v>10944</v>
      </c>
      <c r="AQ108" s="16"/>
      <c r="AS108" s="1"/>
      <c r="AT108" s="1"/>
      <c r="AU108" s="1"/>
      <c r="AV108" s="1"/>
      <c r="AW108" s="1"/>
      <c r="AX108" s="1"/>
      <c r="AY108" s="1"/>
      <c r="AZ108" s="1" t="s">
        <v>105</v>
      </c>
      <c r="BA108" s="91">
        <v>0</v>
      </c>
      <c r="BB108" s="39">
        <v>33</v>
      </c>
    </row>
    <row r="109" spans="1:54" ht="14.45" customHeight="1" x14ac:dyDescent="0.25">
      <c r="A109" s="37"/>
      <c r="B109" s="1"/>
      <c r="C109" s="1"/>
      <c r="D109" s="1"/>
      <c r="E109" s="1"/>
      <c r="F109" s="1"/>
      <c r="G109" s="1" t="s">
        <v>177</v>
      </c>
      <c r="H109" s="69">
        <v>572.71</v>
      </c>
      <c r="I109" s="121">
        <v>161.88</v>
      </c>
      <c r="J109" s="119">
        <f t="shared" si="56"/>
        <v>734.59</v>
      </c>
      <c r="K109" s="61">
        <v>1500</v>
      </c>
      <c r="L109" s="128">
        <f t="shared" si="57"/>
        <v>1425</v>
      </c>
      <c r="M109" s="128">
        <f>1425-225</f>
        <v>1200</v>
      </c>
      <c r="N109" s="129">
        <f t="shared" si="58"/>
        <v>690.41</v>
      </c>
      <c r="O109" s="138">
        <f t="shared" si="59"/>
        <v>-225</v>
      </c>
      <c r="P109" s="11"/>
      <c r="Q109" s="17"/>
      <c r="R109" s="17"/>
      <c r="S109" s="17"/>
      <c r="T109" s="17"/>
      <c r="U109" s="17"/>
      <c r="V109" s="1"/>
      <c r="W109" s="1"/>
      <c r="X109" s="1"/>
      <c r="Y109" s="1"/>
      <c r="Z109" s="1"/>
      <c r="AA109" s="1" t="s">
        <v>79</v>
      </c>
      <c r="AB109" s="1"/>
      <c r="AC109" s="20"/>
      <c r="AD109" s="88"/>
      <c r="AE109" s="20"/>
      <c r="AG109" s="1"/>
      <c r="AH109" s="1"/>
      <c r="AI109" s="1"/>
      <c r="AJ109" s="1"/>
      <c r="AK109" s="1"/>
      <c r="AL109" s="1"/>
      <c r="AM109" s="1" t="s">
        <v>79</v>
      </c>
      <c r="AN109" s="1"/>
      <c r="AO109" s="88"/>
      <c r="AP109" s="20"/>
      <c r="AQ109" s="16"/>
      <c r="AS109" s="1"/>
      <c r="AT109" s="1"/>
      <c r="AU109" s="1"/>
      <c r="AV109" s="1"/>
      <c r="AW109" s="1"/>
      <c r="AX109" s="1"/>
      <c r="AY109" s="1" t="s">
        <v>78</v>
      </c>
      <c r="AZ109" s="1"/>
      <c r="BA109" s="88">
        <f>ROUND(SUM(BA99:BA108),5)</f>
        <v>4195.8500000000004</v>
      </c>
      <c r="BB109" s="20">
        <f>ROUND(SUM(BB99:BB108),5)</f>
        <v>4036</v>
      </c>
    </row>
    <row r="110" spans="1:54" ht="14.45" customHeight="1" x14ac:dyDescent="0.25">
      <c r="A110" s="37"/>
      <c r="B110" s="1"/>
      <c r="C110" s="1"/>
      <c r="D110" s="1"/>
      <c r="E110" s="1"/>
      <c r="F110" s="1"/>
      <c r="G110" s="1" t="s">
        <v>178</v>
      </c>
      <c r="H110" s="69"/>
      <c r="I110" s="121"/>
      <c r="J110" s="119"/>
      <c r="K110" s="61"/>
      <c r="L110" s="128"/>
      <c r="M110" s="128">
        <v>1200</v>
      </c>
      <c r="N110" s="129"/>
      <c r="O110" s="138"/>
      <c r="P110" s="11"/>
      <c r="Q110" s="17"/>
      <c r="R110" s="17"/>
      <c r="S110" s="17"/>
      <c r="T110" s="17"/>
      <c r="U110" s="17"/>
      <c r="V110" s="1"/>
      <c r="W110" s="1"/>
      <c r="X110" s="1"/>
      <c r="Y110" s="1"/>
      <c r="Z110" s="1"/>
      <c r="AA110" s="1"/>
      <c r="AB110" s="1"/>
      <c r="AC110" s="20"/>
      <c r="AD110" s="88"/>
      <c r="AE110" s="20"/>
      <c r="AG110" s="1"/>
      <c r="AH110" s="1"/>
      <c r="AI110" s="1"/>
      <c r="AJ110" s="1"/>
      <c r="AK110" s="1"/>
      <c r="AL110" s="1"/>
      <c r="AM110" s="1"/>
      <c r="AN110" s="1"/>
      <c r="AO110" s="88"/>
      <c r="AP110" s="20"/>
      <c r="AQ110" s="16"/>
      <c r="AS110" s="1"/>
      <c r="AT110" s="1"/>
      <c r="AU110" s="1"/>
      <c r="AV110" s="1"/>
      <c r="AW110" s="1"/>
      <c r="AX110" s="1"/>
      <c r="AY110" s="1"/>
      <c r="AZ110" s="1"/>
      <c r="BA110" s="88"/>
      <c r="BB110" s="20"/>
    </row>
    <row r="111" spans="1:54" ht="14.45" customHeight="1" x14ac:dyDescent="0.25">
      <c r="A111" s="37"/>
      <c r="B111" s="1"/>
      <c r="C111" s="1"/>
      <c r="D111" s="1"/>
      <c r="E111" s="1"/>
      <c r="F111" s="1"/>
      <c r="G111" s="1" t="s">
        <v>94</v>
      </c>
      <c r="H111" s="69">
        <v>124.49</v>
      </c>
      <c r="I111" s="121">
        <v>20</v>
      </c>
      <c r="J111" s="119">
        <f t="shared" si="56"/>
        <v>144.49</v>
      </c>
      <c r="K111" s="61">
        <v>600</v>
      </c>
      <c r="L111" s="128">
        <f t="shared" si="57"/>
        <v>570</v>
      </c>
      <c r="M111" s="128">
        <v>500</v>
      </c>
      <c r="N111" s="129">
        <f t="shared" si="58"/>
        <v>425.51</v>
      </c>
      <c r="O111" s="138">
        <f t="shared" si="59"/>
        <v>-70</v>
      </c>
      <c r="P111" s="11"/>
      <c r="Q111" s="17"/>
      <c r="R111" s="17"/>
      <c r="S111" s="17"/>
      <c r="T111" s="17"/>
      <c r="U111" s="17"/>
      <c r="V111" s="1"/>
      <c r="W111" s="1"/>
      <c r="X111" s="1"/>
      <c r="Y111" s="1"/>
      <c r="Z111" s="1"/>
      <c r="AA111" s="1"/>
      <c r="AB111" s="1" t="s">
        <v>80</v>
      </c>
      <c r="AC111" s="20">
        <v>2404.17</v>
      </c>
      <c r="AD111" s="88">
        <v>2000</v>
      </c>
      <c r="AE111" s="20"/>
      <c r="AG111" s="1"/>
      <c r="AH111" s="1"/>
      <c r="AI111" s="1"/>
      <c r="AJ111" s="1"/>
      <c r="AK111" s="1"/>
      <c r="AL111" s="1"/>
      <c r="AM111" s="1"/>
      <c r="AN111" s="1" t="s">
        <v>80</v>
      </c>
      <c r="AO111" s="88">
        <v>2329.25</v>
      </c>
      <c r="AP111" s="20">
        <v>1503</v>
      </c>
      <c r="AQ111" s="16"/>
      <c r="AS111" s="1"/>
      <c r="AT111" s="1"/>
      <c r="AU111" s="1"/>
      <c r="AV111" s="1"/>
      <c r="AW111" s="1"/>
      <c r="AX111" s="1"/>
      <c r="AY111" s="1" t="s">
        <v>79</v>
      </c>
      <c r="AZ111" s="1"/>
      <c r="BA111" s="88"/>
      <c r="BB111" s="20"/>
    </row>
    <row r="112" spans="1:54" ht="14.45" customHeight="1" thickBot="1" x14ac:dyDescent="0.3">
      <c r="A112" s="37"/>
      <c r="B112" s="1"/>
      <c r="C112" s="1"/>
      <c r="D112" s="1"/>
      <c r="E112" s="1"/>
      <c r="F112" s="1"/>
      <c r="G112" s="1" t="s">
        <v>105</v>
      </c>
      <c r="H112" s="70">
        <v>0</v>
      </c>
      <c r="I112" s="123">
        <v>0</v>
      </c>
      <c r="J112" s="120">
        <f t="shared" si="56"/>
        <v>0</v>
      </c>
      <c r="K112" s="62">
        <v>100</v>
      </c>
      <c r="L112" s="127">
        <f t="shared" si="57"/>
        <v>95</v>
      </c>
      <c r="M112" s="127">
        <v>50</v>
      </c>
      <c r="N112" s="130">
        <f t="shared" si="58"/>
        <v>95</v>
      </c>
      <c r="O112" s="141">
        <f t="shared" si="59"/>
        <v>-45</v>
      </c>
      <c r="P112" s="11"/>
      <c r="Q112" s="17"/>
      <c r="R112" s="17"/>
      <c r="S112" s="17"/>
      <c r="T112" s="17"/>
      <c r="U112" s="17"/>
      <c r="V112" s="1"/>
      <c r="W112" s="1"/>
      <c r="X112" s="1"/>
      <c r="Y112" s="1"/>
      <c r="Z112" s="1"/>
      <c r="AA112" s="1"/>
      <c r="AB112" s="1" t="s">
        <v>98</v>
      </c>
      <c r="AC112" s="20">
        <v>-446.37</v>
      </c>
      <c r="AD112" s="88">
        <v>500</v>
      </c>
      <c r="AE112" s="21"/>
      <c r="AG112" s="1"/>
      <c r="AH112" s="1"/>
      <c r="AI112" s="1"/>
      <c r="AJ112" s="1"/>
      <c r="AK112" s="1"/>
      <c r="AL112" s="1"/>
      <c r="AM112" s="1"/>
      <c r="AN112" s="1" t="s">
        <v>98</v>
      </c>
      <c r="AO112" s="88">
        <v>-446.37</v>
      </c>
      <c r="AP112" s="20">
        <v>378</v>
      </c>
      <c r="AQ112" s="16"/>
      <c r="AS112" s="1"/>
      <c r="AT112" s="1"/>
      <c r="AU112" s="1"/>
      <c r="AV112" s="1"/>
      <c r="AW112" s="1"/>
      <c r="AX112" s="1"/>
      <c r="AY112" s="1"/>
      <c r="AZ112" s="1" t="s">
        <v>80</v>
      </c>
      <c r="BA112" s="88">
        <v>446.49</v>
      </c>
      <c r="BB112" s="20">
        <v>497</v>
      </c>
    </row>
    <row r="113" spans="1:54" s="11" customFormat="1" ht="14.85" customHeight="1" x14ac:dyDescent="0.25">
      <c r="A113" s="37"/>
      <c r="B113" s="13"/>
      <c r="C113" s="13"/>
      <c r="D113" s="13"/>
      <c r="E113" s="13"/>
      <c r="F113" s="13" t="s">
        <v>78</v>
      </c>
      <c r="G113" s="13"/>
      <c r="H113" s="75">
        <f>ROUND(SUM(H102:H112),5)</f>
        <v>3636.34</v>
      </c>
      <c r="I113" s="75">
        <f t="shared" ref="I113:O113" si="60">ROUND(SUM(I102:I112),5)</f>
        <v>4195.8500000000004</v>
      </c>
      <c r="J113" s="75">
        <f t="shared" si="60"/>
        <v>7832.19</v>
      </c>
      <c r="K113" s="76">
        <f t="shared" si="60"/>
        <v>14600</v>
      </c>
      <c r="L113" s="76">
        <f t="shared" si="60"/>
        <v>13870</v>
      </c>
      <c r="M113" s="76">
        <f t="shared" si="60"/>
        <v>14660</v>
      </c>
      <c r="N113" s="96">
        <f t="shared" si="60"/>
        <v>6037.81</v>
      </c>
      <c r="O113" s="142">
        <f t="shared" si="60"/>
        <v>-410</v>
      </c>
      <c r="Q113" s="17"/>
      <c r="R113" s="17"/>
      <c r="S113" s="17"/>
      <c r="T113" s="17"/>
      <c r="U113" s="17"/>
      <c r="V113" s="1"/>
      <c r="W113" s="1"/>
      <c r="X113" s="1"/>
      <c r="Y113" s="1"/>
      <c r="Z113" s="1"/>
      <c r="AA113" s="1"/>
      <c r="AB113" s="1" t="s">
        <v>108</v>
      </c>
      <c r="AC113" s="20">
        <v>0</v>
      </c>
      <c r="AD113" s="88">
        <v>500</v>
      </c>
      <c r="AE113" s="20"/>
      <c r="AG113" s="1"/>
      <c r="AH113" s="1"/>
      <c r="AI113" s="1"/>
      <c r="AJ113" s="1"/>
      <c r="AK113" s="1"/>
      <c r="AL113" s="1"/>
      <c r="AM113" s="1"/>
      <c r="AN113" s="1" t="s">
        <v>108</v>
      </c>
      <c r="AO113" s="88">
        <v>0</v>
      </c>
      <c r="AP113" s="20">
        <v>378</v>
      </c>
      <c r="AQ113" s="18"/>
      <c r="AS113" s="1"/>
      <c r="AT113" s="1"/>
      <c r="AU113" s="1"/>
      <c r="AV113" s="1"/>
      <c r="AW113" s="1"/>
      <c r="AX113" s="1"/>
      <c r="AY113" s="1"/>
      <c r="AZ113" s="1" t="s">
        <v>98</v>
      </c>
      <c r="BA113" s="88">
        <v>637.5</v>
      </c>
      <c r="BB113" s="20">
        <v>122</v>
      </c>
    </row>
    <row r="114" spans="1:54" ht="14.45" customHeight="1" x14ac:dyDescent="0.25">
      <c r="A114" s="37"/>
      <c r="B114" s="1"/>
      <c r="C114" s="1"/>
      <c r="D114" s="1"/>
      <c r="E114" s="1"/>
      <c r="F114" s="1" t="s">
        <v>79</v>
      </c>
      <c r="G114" s="1"/>
      <c r="H114" s="60"/>
      <c r="I114" s="60"/>
      <c r="J114" s="60"/>
      <c r="K114" s="60"/>
      <c r="L114" s="60"/>
      <c r="M114" s="60"/>
      <c r="N114" s="95"/>
      <c r="O114" s="140"/>
      <c r="P114" s="11"/>
      <c r="Q114" s="17"/>
      <c r="R114" s="17"/>
      <c r="S114" s="17"/>
      <c r="T114" s="17"/>
      <c r="U114" s="17"/>
      <c r="V114" s="1"/>
      <c r="W114" s="1"/>
      <c r="X114" s="1"/>
      <c r="Y114" s="1"/>
      <c r="Z114" s="1"/>
      <c r="AA114" s="1"/>
      <c r="AB114" s="1" t="s">
        <v>81</v>
      </c>
      <c r="AC114" s="20">
        <v>0</v>
      </c>
      <c r="AD114" s="88">
        <v>150</v>
      </c>
      <c r="AE114" s="20"/>
      <c r="AG114" s="1"/>
      <c r="AH114" s="1"/>
      <c r="AI114" s="1"/>
      <c r="AJ114" s="1"/>
      <c r="AK114" s="1"/>
      <c r="AL114" s="1"/>
      <c r="AM114" s="1"/>
      <c r="AN114" s="1" t="s">
        <v>81</v>
      </c>
      <c r="AO114" s="88">
        <v>0</v>
      </c>
      <c r="AP114" s="20">
        <v>108</v>
      </c>
      <c r="AQ114" s="16"/>
      <c r="AS114" s="1"/>
      <c r="AT114" s="1"/>
      <c r="AU114" s="1"/>
      <c r="AV114" s="1"/>
      <c r="AW114" s="1"/>
      <c r="AX114" s="1"/>
      <c r="AY114" s="1"/>
      <c r="AZ114" s="1" t="s">
        <v>108</v>
      </c>
      <c r="BA114" s="88">
        <v>0</v>
      </c>
      <c r="BB114" s="20">
        <v>122</v>
      </c>
    </row>
    <row r="115" spans="1:54" ht="14.45" customHeight="1" x14ac:dyDescent="0.25">
      <c r="A115" s="37"/>
      <c r="B115" s="1"/>
      <c r="C115" s="1"/>
      <c r="D115" s="1"/>
      <c r="E115" s="1"/>
      <c r="F115" s="1"/>
      <c r="G115" s="1" t="s">
        <v>80</v>
      </c>
      <c r="H115" s="69">
        <v>2329.25</v>
      </c>
      <c r="I115" s="121">
        <v>446.49</v>
      </c>
      <c r="J115" s="119">
        <f t="shared" ref="J115:J121" si="61">SUM(H115:I115)</f>
        <v>2775.74</v>
      </c>
      <c r="K115" s="61">
        <v>2000</v>
      </c>
      <c r="L115" s="128">
        <f t="shared" ref="L115:L121" si="62">K115-(K115*0.05)</f>
        <v>1900</v>
      </c>
      <c r="M115" s="128">
        <v>2800</v>
      </c>
      <c r="N115" s="129">
        <f t="shared" ref="N115:N121" si="63">L115-J115</f>
        <v>-875.73999999999978</v>
      </c>
      <c r="O115" s="138">
        <f t="shared" ref="O115:O121" si="64">M115-L115</f>
        <v>900</v>
      </c>
      <c r="P115" s="11"/>
      <c r="Q115" s="153" t="s">
        <v>182</v>
      </c>
      <c r="R115" s="17"/>
      <c r="S115" s="17"/>
      <c r="T115" s="17"/>
      <c r="U115" s="17"/>
      <c r="V115" s="1"/>
      <c r="W115" s="1"/>
      <c r="X115" s="1"/>
      <c r="Y115" s="1"/>
      <c r="Z115" s="1"/>
      <c r="AA115" s="1"/>
      <c r="AB115" s="1" t="s">
        <v>82</v>
      </c>
      <c r="AC115" s="20">
        <v>539.92999999999995</v>
      </c>
      <c r="AD115" s="88">
        <v>1675</v>
      </c>
      <c r="AE115" s="20"/>
      <c r="AG115" s="1"/>
      <c r="AH115" s="1"/>
      <c r="AI115" s="1"/>
      <c r="AJ115" s="1"/>
      <c r="AK115" s="1"/>
      <c r="AL115" s="1"/>
      <c r="AM115" s="1"/>
      <c r="AN115" s="1" t="s">
        <v>82</v>
      </c>
      <c r="AO115" s="88">
        <v>539.92999999999995</v>
      </c>
      <c r="AP115" s="20">
        <v>1260</v>
      </c>
      <c r="AQ115" s="16"/>
      <c r="AS115" s="1"/>
      <c r="AT115" s="1"/>
      <c r="AU115" s="1"/>
      <c r="AV115" s="1"/>
      <c r="AW115" s="1"/>
      <c r="AX115" s="1"/>
      <c r="AY115" s="1"/>
      <c r="AZ115" s="1" t="s">
        <v>81</v>
      </c>
      <c r="BA115" s="88">
        <v>0</v>
      </c>
      <c r="BB115" s="20">
        <v>42</v>
      </c>
    </row>
    <row r="116" spans="1:54" ht="14.45" customHeight="1" x14ac:dyDescent="0.25">
      <c r="A116" s="37"/>
      <c r="B116" s="1"/>
      <c r="C116" s="1"/>
      <c r="D116" s="1"/>
      <c r="E116" s="1"/>
      <c r="F116" s="1"/>
      <c r="G116" s="1" t="s">
        <v>98</v>
      </c>
      <c r="H116" s="69">
        <v>-446.37</v>
      </c>
      <c r="I116" s="121">
        <v>637.5</v>
      </c>
      <c r="J116" s="119">
        <f t="shared" si="61"/>
        <v>191.13</v>
      </c>
      <c r="K116" s="61">
        <v>500</v>
      </c>
      <c r="L116" s="128">
        <f t="shared" si="62"/>
        <v>475</v>
      </c>
      <c r="M116" s="128">
        <v>475</v>
      </c>
      <c r="N116" s="129">
        <f t="shared" si="63"/>
        <v>283.87</v>
      </c>
      <c r="O116" s="138">
        <f t="shared" si="64"/>
        <v>0</v>
      </c>
      <c r="P116" s="11"/>
      <c r="Q116" s="17"/>
      <c r="R116" s="17"/>
      <c r="S116" s="17"/>
      <c r="T116" s="17"/>
      <c r="U116" s="17"/>
      <c r="V116" s="1"/>
      <c r="W116" s="1"/>
      <c r="X116" s="1"/>
      <c r="Y116" s="1"/>
      <c r="Z116" s="1"/>
      <c r="AA116" s="1"/>
      <c r="AB116" s="1" t="s">
        <v>83</v>
      </c>
      <c r="AC116" s="20">
        <v>17.87</v>
      </c>
      <c r="AD116" s="88">
        <v>500</v>
      </c>
      <c r="AE116" s="20"/>
      <c r="AG116" s="1"/>
      <c r="AH116" s="1"/>
      <c r="AI116" s="1"/>
      <c r="AJ116" s="1"/>
      <c r="AK116" s="1"/>
      <c r="AL116" s="1"/>
      <c r="AM116" s="1"/>
      <c r="AN116" s="1" t="s">
        <v>83</v>
      </c>
      <c r="AO116" s="88">
        <v>17.87</v>
      </c>
      <c r="AP116" s="20">
        <v>378</v>
      </c>
      <c r="AQ116" s="16"/>
      <c r="AS116" s="1"/>
      <c r="AT116" s="1"/>
      <c r="AU116" s="1"/>
      <c r="AV116" s="1"/>
      <c r="AW116" s="1"/>
      <c r="AX116" s="1"/>
      <c r="AY116" s="1"/>
      <c r="AZ116" s="1" t="s">
        <v>82</v>
      </c>
      <c r="BA116" s="88">
        <v>879.84</v>
      </c>
      <c r="BB116" s="20">
        <v>415</v>
      </c>
    </row>
    <row r="117" spans="1:54" ht="14.45" customHeight="1" thickBot="1" x14ac:dyDescent="0.3">
      <c r="A117" s="37"/>
      <c r="B117" s="1"/>
      <c r="C117" s="1"/>
      <c r="D117" s="1"/>
      <c r="E117" s="1"/>
      <c r="F117" s="1"/>
      <c r="G117" s="1" t="s">
        <v>108</v>
      </c>
      <c r="H117" s="69">
        <v>0</v>
      </c>
      <c r="I117" s="121">
        <v>0</v>
      </c>
      <c r="J117" s="119">
        <f t="shared" si="61"/>
        <v>0</v>
      </c>
      <c r="K117" s="61">
        <v>500</v>
      </c>
      <c r="L117" s="128">
        <f t="shared" si="62"/>
        <v>475</v>
      </c>
      <c r="M117" s="128">
        <v>475</v>
      </c>
      <c r="N117" s="129">
        <f t="shared" si="63"/>
        <v>475</v>
      </c>
      <c r="O117" s="138">
        <f t="shared" si="64"/>
        <v>0</v>
      </c>
      <c r="P117" s="11"/>
      <c r="Q117" s="17"/>
      <c r="R117" s="17"/>
      <c r="S117" s="17"/>
      <c r="T117" s="17"/>
      <c r="U117" s="17"/>
      <c r="V117" s="1"/>
      <c r="W117" s="1"/>
      <c r="X117" s="1"/>
      <c r="Y117" s="1"/>
      <c r="Z117" s="1"/>
      <c r="AA117" s="1"/>
      <c r="AB117" s="1" t="s">
        <v>84</v>
      </c>
      <c r="AC117" s="39">
        <v>0</v>
      </c>
      <c r="AD117" s="91">
        <v>500</v>
      </c>
      <c r="AE117" s="20"/>
      <c r="AG117" s="1"/>
      <c r="AH117" s="1"/>
      <c r="AI117" s="1"/>
      <c r="AJ117" s="1"/>
      <c r="AK117" s="1"/>
      <c r="AL117" s="1"/>
      <c r="AM117" s="1"/>
      <c r="AN117" s="1" t="s">
        <v>84</v>
      </c>
      <c r="AO117" s="91">
        <v>0</v>
      </c>
      <c r="AP117" s="39">
        <v>378</v>
      </c>
      <c r="AQ117" s="16"/>
      <c r="AS117" s="1"/>
      <c r="AT117" s="1"/>
      <c r="AU117" s="1"/>
      <c r="AV117" s="1"/>
      <c r="AW117" s="1"/>
      <c r="AX117" s="1"/>
      <c r="AY117" s="1"/>
      <c r="AZ117" s="1" t="s">
        <v>83</v>
      </c>
      <c r="BA117" s="88">
        <v>-8</v>
      </c>
      <c r="BB117" s="20">
        <v>122</v>
      </c>
    </row>
    <row r="118" spans="1:54" ht="14.45" customHeight="1" thickBot="1" x14ac:dyDescent="0.3">
      <c r="A118" s="37"/>
      <c r="B118" s="1"/>
      <c r="C118" s="1"/>
      <c r="D118" s="1"/>
      <c r="E118" s="1"/>
      <c r="F118" s="1"/>
      <c r="G118" s="1" t="s">
        <v>81</v>
      </c>
      <c r="H118" s="69">
        <v>0</v>
      </c>
      <c r="I118" s="121">
        <v>0</v>
      </c>
      <c r="J118" s="119">
        <f t="shared" si="61"/>
        <v>0</v>
      </c>
      <c r="K118" s="61">
        <v>150</v>
      </c>
      <c r="L118" s="128">
        <f t="shared" si="62"/>
        <v>142.5</v>
      </c>
      <c r="M118" s="128">
        <v>143</v>
      </c>
      <c r="N118" s="129">
        <f t="shared" si="63"/>
        <v>142.5</v>
      </c>
      <c r="O118" s="138">
        <f>M118-L118-0.05</f>
        <v>0.45</v>
      </c>
      <c r="P118" s="11"/>
      <c r="Q118" s="17"/>
      <c r="R118" s="17"/>
      <c r="S118" s="17"/>
      <c r="T118" s="17"/>
      <c r="U118" s="17"/>
      <c r="V118" s="1"/>
      <c r="W118" s="1"/>
      <c r="X118" s="1"/>
      <c r="Y118" s="1"/>
      <c r="Z118" s="1"/>
      <c r="AA118" s="1" t="s">
        <v>85</v>
      </c>
      <c r="AB118" s="1"/>
      <c r="AC118" s="20">
        <f>ROUND(SUM(AC109:AC117),5)</f>
        <v>2515.6</v>
      </c>
      <c r="AD118" s="88">
        <f>ROUND(SUM(AD109:AD117),5)</f>
        <v>5825</v>
      </c>
      <c r="AE118" s="20"/>
      <c r="AG118" s="1"/>
      <c r="AH118" s="1"/>
      <c r="AI118" s="1"/>
      <c r="AJ118" s="1"/>
      <c r="AK118" s="1"/>
      <c r="AL118" s="1"/>
      <c r="AM118" s="1" t="s">
        <v>85</v>
      </c>
      <c r="AN118" s="1"/>
      <c r="AO118" s="88">
        <f>ROUND(SUM(AO109:AO117),5)</f>
        <v>2440.6799999999998</v>
      </c>
      <c r="AP118" s="20">
        <f>ROUND(SUM(AP109:AP117),5)</f>
        <v>4383</v>
      </c>
      <c r="AQ118" s="16"/>
      <c r="AS118" s="1"/>
      <c r="AT118" s="1"/>
      <c r="AU118" s="1"/>
      <c r="AV118" s="1"/>
      <c r="AW118" s="1"/>
      <c r="AX118" s="1"/>
      <c r="AY118" s="1"/>
      <c r="AZ118" s="1" t="s">
        <v>84</v>
      </c>
      <c r="BA118" s="91">
        <v>0</v>
      </c>
      <c r="BB118" s="39">
        <v>122</v>
      </c>
    </row>
    <row r="119" spans="1:54" ht="14.45" customHeight="1" x14ac:dyDescent="0.25">
      <c r="A119" s="37"/>
      <c r="B119" s="1"/>
      <c r="C119" s="1"/>
      <c r="D119" s="1"/>
      <c r="E119" s="1"/>
      <c r="F119" s="1"/>
      <c r="G119" s="17" t="s">
        <v>82</v>
      </c>
      <c r="H119" s="69">
        <v>539.92999999999995</v>
      </c>
      <c r="I119" s="121">
        <v>879.84</v>
      </c>
      <c r="J119" s="119">
        <f t="shared" si="61"/>
        <v>1419.77</v>
      </c>
      <c r="K119" s="61">
        <v>1675</v>
      </c>
      <c r="L119" s="128">
        <f t="shared" si="62"/>
        <v>1591.25</v>
      </c>
      <c r="M119" s="128">
        <v>1591</v>
      </c>
      <c r="N119" s="129">
        <f t="shared" si="63"/>
        <v>171.48000000000002</v>
      </c>
      <c r="O119" s="138">
        <f t="shared" si="64"/>
        <v>-0.25</v>
      </c>
      <c r="P119" s="11"/>
      <c r="Q119" s="17"/>
      <c r="R119" s="17"/>
      <c r="S119" s="17"/>
      <c r="T119" s="17"/>
      <c r="U119" s="17"/>
      <c r="V119" s="1"/>
      <c r="W119" s="1"/>
      <c r="X119" s="1"/>
      <c r="Y119" s="1"/>
      <c r="Z119" s="1"/>
      <c r="AA119" s="1" t="s">
        <v>86</v>
      </c>
      <c r="AB119" s="1"/>
      <c r="AC119" s="20"/>
      <c r="AD119" s="88"/>
      <c r="AE119" s="20"/>
      <c r="AG119" s="1"/>
      <c r="AH119" s="1"/>
      <c r="AI119" s="1"/>
      <c r="AJ119" s="1"/>
      <c r="AK119" s="1"/>
      <c r="AL119" s="1"/>
      <c r="AM119" s="1" t="s">
        <v>86</v>
      </c>
      <c r="AN119" s="1"/>
      <c r="AO119" s="88"/>
      <c r="AP119" s="20"/>
      <c r="AQ119" s="16"/>
      <c r="AS119" s="1"/>
      <c r="AT119" s="1"/>
      <c r="AU119" s="1"/>
      <c r="AV119" s="1"/>
      <c r="AW119" s="1"/>
      <c r="AX119" s="1"/>
      <c r="AY119" s="1" t="s">
        <v>85</v>
      </c>
      <c r="AZ119" s="1"/>
      <c r="BA119" s="88">
        <f>ROUND(SUM(BA111:BA118),5)</f>
        <v>1955.83</v>
      </c>
      <c r="BB119" s="20">
        <f>ROUND(SUM(BB111:BB118),5)</f>
        <v>1442</v>
      </c>
    </row>
    <row r="120" spans="1:54" ht="14.45" customHeight="1" x14ac:dyDescent="0.25">
      <c r="A120" s="37"/>
      <c r="B120" s="1"/>
      <c r="C120" s="1"/>
      <c r="D120" s="1"/>
      <c r="E120" s="1"/>
      <c r="F120" s="1"/>
      <c r="G120" s="1" t="s">
        <v>83</v>
      </c>
      <c r="H120" s="69">
        <v>17.87</v>
      </c>
      <c r="I120" s="121">
        <v>-8</v>
      </c>
      <c r="J120" s="119">
        <f t="shared" si="61"/>
        <v>9.870000000000001</v>
      </c>
      <c r="K120" s="61">
        <v>500</v>
      </c>
      <c r="L120" s="128">
        <f t="shared" si="62"/>
        <v>475</v>
      </c>
      <c r="M120" s="128">
        <v>475</v>
      </c>
      <c r="N120" s="129">
        <f t="shared" si="63"/>
        <v>465.13</v>
      </c>
      <c r="O120" s="138">
        <f t="shared" si="64"/>
        <v>0</v>
      </c>
      <c r="P120" s="11"/>
      <c r="Q120" s="17"/>
      <c r="R120" s="17"/>
      <c r="S120" s="17"/>
      <c r="T120" s="17"/>
      <c r="U120" s="17"/>
      <c r="V120" s="1"/>
      <c r="W120" s="1"/>
      <c r="X120" s="1"/>
      <c r="Y120" s="1"/>
      <c r="Z120" s="1"/>
      <c r="AA120" s="1"/>
      <c r="AB120" s="1" t="s">
        <v>87</v>
      </c>
      <c r="AC120" s="20">
        <v>2701.98</v>
      </c>
      <c r="AD120" s="88">
        <v>4350</v>
      </c>
      <c r="AE120" s="20"/>
      <c r="AG120" s="1"/>
      <c r="AH120" s="1"/>
      <c r="AI120" s="1"/>
      <c r="AJ120" s="1"/>
      <c r="AK120" s="1"/>
      <c r="AL120" s="1"/>
      <c r="AM120" s="1"/>
      <c r="AN120" s="1" t="s">
        <v>87</v>
      </c>
      <c r="AO120" s="88">
        <v>2701.98</v>
      </c>
      <c r="AP120" s="20">
        <v>3267</v>
      </c>
      <c r="AQ120" s="16"/>
      <c r="AS120" s="1"/>
      <c r="AT120" s="1"/>
      <c r="AU120" s="1"/>
      <c r="AV120" s="1"/>
      <c r="AW120" s="1"/>
      <c r="AX120" s="1"/>
      <c r="AY120" s="1" t="s">
        <v>86</v>
      </c>
      <c r="AZ120" s="1"/>
      <c r="BA120" s="88"/>
      <c r="BB120" s="20"/>
    </row>
    <row r="121" spans="1:54" ht="14.45" customHeight="1" thickBot="1" x14ac:dyDescent="0.3">
      <c r="A121" s="37"/>
      <c r="B121" s="1"/>
      <c r="C121" s="1"/>
      <c r="D121" s="1"/>
      <c r="E121" s="1"/>
      <c r="F121" s="1"/>
      <c r="G121" s="1" t="s">
        <v>84</v>
      </c>
      <c r="H121" s="70">
        <v>0</v>
      </c>
      <c r="I121" s="123">
        <v>0</v>
      </c>
      <c r="J121" s="120">
        <f t="shared" si="61"/>
        <v>0</v>
      </c>
      <c r="K121" s="62">
        <v>500</v>
      </c>
      <c r="L121" s="127">
        <f t="shared" si="62"/>
        <v>475</v>
      </c>
      <c r="M121" s="127">
        <v>100</v>
      </c>
      <c r="N121" s="130">
        <f t="shared" si="63"/>
        <v>475</v>
      </c>
      <c r="O121" s="141">
        <f t="shared" si="64"/>
        <v>-375</v>
      </c>
      <c r="P121" s="11"/>
      <c r="Q121" s="17"/>
      <c r="R121" s="17"/>
      <c r="S121" s="17"/>
      <c r="T121" s="17"/>
      <c r="U121" s="17"/>
      <c r="V121" s="1"/>
      <c r="W121" s="1"/>
      <c r="X121" s="1"/>
      <c r="Y121" s="1"/>
      <c r="Z121" s="1"/>
      <c r="AA121" s="1"/>
      <c r="AB121" s="1" t="s">
        <v>88</v>
      </c>
      <c r="AC121" s="20">
        <v>829.28</v>
      </c>
      <c r="AD121" s="88">
        <v>11200</v>
      </c>
      <c r="AE121" s="21"/>
      <c r="AG121" s="1"/>
      <c r="AH121" s="1"/>
      <c r="AI121" s="1"/>
      <c r="AJ121" s="1"/>
      <c r="AK121" s="1"/>
      <c r="AL121" s="1"/>
      <c r="AM121" s="1"/>
      <c r="AN121" s="1" t="s">
        <v>88</v>
      </c>
      <c r="AO121" s="88">
        <v>829.28</v>
      </c>
      <c r="AP121" s="20">
        <v>8397</v>
      </c>
      <c r="AQ121" s="16"/>
      <c r="AS121" s="1"/>
      <c r="AT121" s="1"/>
      <c r="AU121" s="1"/>
      <c r="AV121" s="1"/>
      <c r="AW121" s="1"/>
      <c r="AX121" s="1"/>
      <c r="AY121" s="1"/>
      <c r="AZ121" s="1" t="s">
        <v>87</v>
      </c>
      <c r="BA121" s="88">
        <v>834.63</v>
      </c>
      <c r="BB121" s="20">
        <v>1125</v>
      </c>
    </row>
    <row r="122" spans="1:54" s="11" customFormat="1" ht="14.85" customHeight="1" thickBot="1" x14ac:dyDescent="0.3">
      <c r="A122" s="37"/>
      <c r="B122" s="13"/>
      <c r="C122" s="13"/>
      <c r="D122" s="13"/>
      <c r="E122" s="13"/>
      <c r="F122" s="13" t="s">
        <v>85</v>
      </c>
      <c r="G122" s="13"/>
      <c r="H122" s="75">
        <f>ROUND(SUM(H114:H121),5)</f>
        <v>2440.6799999999998</v>
      </c>
      <c r="I122" s="75">
        <f t="shared" ref="I122:O122" si="65">ROUND(SUM(I114:I121),5)</f>
        <v>1955.83</v>
      </c>
      <c r="J122" s="75">
        <f t="shared" si="65"/>
        <v>4396.51</v>
      </c>
      <c r="K122" s="75">
        <f t="shared" si="65"/>
        <v>5825</v>
      </c>
      <c r="L122" s="75">
        <f t="shared" si="65"/>
        <v>5533.75</v>
      </c>
      <c r="M122" s="75">
        <f t="shared" si="65"/>
        <v>6059</v>
      </c>
      <c r="N122" s="94">
        <f t="shared" si="65"/>
        <v>1137.24</v>
      </c>
      <c r="O122" s="142">
        <f t="shared" si="65"/>
        <v>525.20000000000005</v>
      </c>
      <c r="Q122" s="17"/>
      <c r="R122" s="17"/>
      <c r="S122" s="17"/>
      <c r="T122" s="17"/>
      <c r="U122" s="17"/>
      <c r="V122" s="1"/>
      <c r="W122" s="1"/>
      <c r="X122" s="1"/>
      <c r="Y122" s="1"/>
      <c r="Z122" s="1"/>
      <c r="AA122" s="1"/>
      <c r="AB122" s="1" t="s">
        <v>109</v>
      </c>
      <c r="AC122" s="20">
        <v>10.9</v>
      </c>
      <c r="AD122" s="88">
        <v>1400</v>
      </c>
      <c r="AE122" s="20"/>
      <c r="AG122" s="1"/>
      <c r="AH122" s="1"/>
      <c r="AI122" s="1"/>
      <c r="AJ122" s="1"/>
      <c r="AK122" s="1"/>
      <c r="AL122" s="1"/>
      <c r="AM122" s="1"/>
      <c r="AN122" s="1" t="s">
        <v>109</v>
      </c>
      <c r="AO122" s="88">
        <v>10.9</v>
      </c>
      <c r="AP122" s="20">
        <v>1053</v>
      </c>
      <c r="AQ122" s="18"/>
      <c r="AS122" s="1"/>
      <c r="AT122" s="1"/>
      <c r="AU122" s="1"/>
      <c r="AV122" s="1"/>
      <c r="AW122" s="1"/>
      <c r="AX122" s="1"/>
      <c r="AY122" s="1"/>
      <c r="AZ122" s="1" t="s">
        <v>88</v>
      </c>
      <c r="BA122" s="88">
        <v>35.9</v>
      </c>
      <c r="BB122" s="20">
        <v>497</v>
      </c>
    </row>
    <row r="123" spans="1:54" ht="14.45" customHeight="1" thickBot="1" x14ac:dyDescent="0.3">
      <c r="A123" s="37"/>
      <c r="B123" s="1"/>
      <c r="C123" s="1"/>
      <c r="D123" s="1"/>
      <c r="E123" s="1"/>
      <c r="F123" s="1" t="s">
        <v>86</v>
      </c>
      <c r="G123" s="1"/>
      <c r="H123" s="60"/>
      <c r="I123" s="60"/>
      <c r="J123" s="60"/>
      <c r="K123" s="60"/>
      <c r="L123" s="60"/>
      <c r="M123" s="60"/>
      <c r="N123" s="95"/>
      <c r="O123" s="140"/>
      <c r="P123" s="11"/>
      <c r="Q123" s="17"/>
      <c r="R123" s="17"/>
      <c r="S123" s="17"/>
      <c r="T123" s="17"/>
      <c r="U123" s="17"/>
      <c r="V123" s="1"/>
      <c r="W123" s="1"/>
      <c r="X123" s="1"/>
      <c r="Y123" s="1"/>
      <c r="Z123" s="1"/>
      <c r="AA123" s="1" t="s">
        <v>89</v>
      </c>
      <c r="AB123" s="1"/>
      <c r="AC123" s="40">
        <f>ROUND(SUM(AC119:AC122),5)</f>
        <v>3542.16</v>
      </c>
      <c r="AD123" s="89">
        <f>ROUND(SUM(AD119:AD122),5)</f>
        <v>16950</v>
      </c>
      <c r="AE123" s="20"/>
      <c r="AG123" s="1"/>
      <c r="AH123" s="1"/>
      <c r="AI123" s="1"/>
      <c r="AJ123" s="1"/>
      <c r="AK123" s="1"/>
      <c r="AL123" s="1"/>
      <c r="AM123" s="1" t="s">
        <v>89</v>
      </c>
      <c r="AN123" s="1"/>
      <c r="AO123" s="89">
        <f>ROUND(SUM(AO119:AO122),5)</f>
        <v>3542.16</v>
      </c>
      <c r="AP123" s="40">
        <f>ROUND(SUM(AP119:AP122),5)</f>
        <v>12717</v>
      </c>
      <c r="AQ123" s="16"/>
      <c r="AS123" s="1"/>
      <c r="AT123" s="1"/>
      <c r="AU123" s="1"/>
      <c r="AV123" s="1"/>
      <c r="AW123" s="1"/>
      <c r="AX123" s="1"/>
      <c r="AY123" s="1"/>
      <c r="AZ123" s="1" t="s">
        <v>109</v>
      </c>
      <c r="BA123" s="88">
        <v>350</v>
      </c>
      <c r="BB123" s="20">
        <v>347</v>
      </c>
    </row>
    <row r="124" spans="1:54" ht="14.45" customHeight="1" thickBot="1" x14ac:dyDescent="0.3">
      <c r="A124" s="37"/>
      <c r="B124" s="1"/>
      <c r="C124" s="1"/>
      <c r="D124" s="1"/>
      <c r="E124" s="1"/>
      <c r="F124" s="1"/>
      <c r="G124" s="1" t="s">
        <v>87</v>
      </c>
      <c r="H124" s="69">
        <v>2701.98</v>
      </c>
      <c r="I124" s="121">
        <v>834.63</v>
      </c>
      <c r="J124" s="119">
        <f t="shared" ref="J124:J126" si="66">SUM(H124:I124)</f>
        <v>3536.61</v>
      </c>
      <c r="K124" s="61">
        <v>4350</v>
      </c>
      <c r="L124" s="128">
        <f t="shared" ref="L124:L126" si="67">K124-(K124*0.05)</f>
        <v>4132.5</v>
      </c>
      <c r="M124" s="128">
        <v>4133</v>
      </c>
      <c r="N124" s="129">
        <f t="shared" ref="N124:N126" si="68">L124-J124</f>
        <v>595.88999999999987</v>
      </c>
      <c r="O124" s="138">
        <f>M124-L124-0.05</f>
        <v>0.45</v>
      </c>
      <c r="P124" s="11"/>
      <c r="Q124" s="17"/>
      <c r="R124" s="17"/>
      <c r="S124" s="17"/>
      <c r="T124" s="17"/>
      <c r="U124" s="17"/>
      <c r="V124" s="1"/>
      <c r="W124" s="1"/>
      <c r="X124" s="1"/>
      <c r="Y124" s="1"/>
      <c r="Z124" s="1" t="s">
        <v>90</v>
      </c>
      <c r="AA124" s="1"/>
      <c r="AB124" s="1"/>
      <c r="AC124" s="40">
        <f>ROUND(AC66+AC69+AC72+AC77+AC86+AC97+AC108+AC118+AC123,5)</f>
        <v>140492.43</v>
      </c>
      <c r="AD124" s="89">
        <f>ROUND(AD66+AD69+AD72+AD77+AD86+AD97+AD108+AD118+AD123,5)</f>
        <v>222666</v>
      </c>
      <c r="AE124" s="20"/>
      <c r="AG124" s="1"/>
      <c r="AH124" s="1"/>
      <c r="AI124" s="1"/>
      <c r="AJ124" s="1"/>
      <c r="AK124" s="1"/>
      <c r="AL124" s="1" t="s">
        <v>90</v>
      </c>
      <c r="AM124" s="1"/>
      <c r="AN124" s="1"/>
      <c r="AO124" s="89">
        <f>ROUND(AO66+AO69+AO72+AO77+AO86+AO97+AO108+AO118+AO123,5)</f>
        <v>133721.51</v>
      </c>
      <c r="AP124" s="40">
        <f>ROUND(AP66+AP69+AP72+AP77+AP86+AP97+AP108+AP118+AP123,5)</f>
        <v>167022</v>
      </c>
      <c r="AQ124" s="16"/>
      <c r="AS124" s="1"/>
      <c r="AT124" s="1"/>
      <c r="AU124" s="1"/>
      <c r="AV124" s="1"/>
      <c r="AW124" s="1"/>
      <c r="AX124" s="1"/>
      <c r="AY124" s="1" t="s">
        <v>89</v>
      </c>
      <c r="AZ124" s="1"/>
      <c r="BA124" s="89">
        <f>ROUND(SUM(BA120:BA123),5)</f>
        <v>1220.53</v>
      </c>
      <c r="BB124" s="40">
        <f>ROUND(SUM(BB120:BB123),5)</f>
        <v>1969</v>
      </c>
    </row>
    <row r="125" spans="1:54" ht="14.45" customHeight="1" thickBot="1" x14ac:dyDescent="0.3">
      <c r="A125" s="37"/>
      <c r="B125" s="1"/>
      <c r="C125" s="1"/>
      <c r="D125" s="1"/>
      <c r="E125" s="1"/>
      <c r="F125" s="1"/>
      <c r="G125" s="1" t="s">
        <v>88</v>
      </c>
      <c r="H125" s="69">
        <v>829.28</v>
      </c>
      <c r="I125" s="121">
        <v>35.9</v>
      </c>
      <c r="J125" s="119">
        <f t="shared" si="66"/>
        <v>865.18</v>
      </c>
      <c r="K125" s="61">
        <v>11200</v>
      </c>
      <c r="L125" s="128">
        <f t="shared" si="67"/>
        <v>10640</v>
      </c>
      <c r="M125" s="128">
        <f>7000-2000</f>
        <v>5000</v>
      </c>
      <c r="N125" s="129">
        <f t="shared" si="68"/>
        <v>9774.82</v>
      </c>
      <c r="O125" s="138">
        <f t="shared" ref="O125:O126" si="69">M125-L125</f>
        <v>-5640</v>
      </c>
      <c r="P125" s="11"/>
      <c r="Q125" s="17"/>
      <c r="R125" s="17"/>
      <c r="S125" s="17"/>
      <c r="T125" s="17"/>
      <c r="U125" s="17"/>
      <c r="V125" s="1"/>
      <c r="W125" s="1"/>
      <c r="X125" s="1"/>
      <c r="Y125" s="1" t="s">
        <v>91</v>
      </c>
      <c r="Z125" s="1"/>
      <c r="AA125" s="1"/>
      <c r="AB125" s="1"/>
      <c r="AC125" s="40">
        <f>ROUND(AC16+AC65+AC124,5)</f>
        <v>565499.96</v>
      </c>
      <c r="AD125" s="89">
        <f>ROUND(AD16+AD65+AD124,5)</f>
        <v>891857</v>
      </c>
      <c r="AE125" s="20"/>
      <c r="AG125" s="1"/>
      <c r="AH125" s="1"/>
      <c r="AI125" s="1"/>
      <c r="AJ125" s="1"/>
      <c r="AK125" s="1" t="s">
        <v>91</v>
      </c>
      <c r="AL125" s="1"/>
      <c r="AM125" s="1"/>
      <c r="AN125" s="1"/>
      <c r="AO125" s="89">
        <f>ROUND(AO16+AO65+AO124,5)</f>
        <v>542422.01</v>
      </c>
      <c r="AP125" s="40">
        <f>ROUND(AP16+AP65+AP124,5)</f>
        <v>668916</v>
      </c>
      <c r="AQ125" s="16"/>
      <c r="AS125" s="1"/>
      <c r="AT125" s="1"/>
      <c r="AU125" s="1"/>
      <c r="AV125" s="1"/>
      <c r="AW125" s="1"/>
      <c r="AX125" s="1" t="s">
        <v>90</v>
      </c>
      <c r="AY125" s="1"/>
      <c r="AZ125" s="1"/>
      <c r="BA125" s="89">
        <f>ROUND(BA66+BA69+BA73+BA79+BA87+BA98+BA109+BA119+BA124,5)</f>
        <v>50443.19</v>
      </c>
      <c r="BB125" s="40">
        <f>ROUND(BB66+BB69+BB73+BB79+BB87+BB98+BB109+BB119+BB124,5)</f>
        <v>55096</v>
      </c>
    </row>
    <row r="126" spans="1:54" ht="14.45" customHeight="1" thickBot="1" x14ac:dyDescent="0.3">
      <c r="A126" s="37"/>
      <c r="B126" s="1"/>
      <c r="C126" s="1"/>
      <c r="D126" s="1"/>
      <c r="E126" s="1"/>
      <c r="F126" s="1"/>
      <c r="G126" s="1" t="s">
        <v>109</v>
      </c>
      <c r="H126" s="70">
        <v>10.9</v>
      </c>
      <c r="I126" s="121">
        <v>350</v>
      </c>
      <c r="J126" s="119">
        <f t="shared" si="66"/>
        <v>360.9</v>
      </c>
      <c r="K126" s="61">
        <v>1400</v>
      </c>
      <c r="L126" s="127">
        <f t="shared" si="67"/>
        <v>1330</v>
      </c>
      <c r="M126" s="127">
        <v>1330</v>
      </c>
      <c r="N126" s="130">
        <f t="shared" si="68"/>
        <v>969.1</v>
      </c>
      <c r="O126" s="141">
        <f t="shared" si="69"/>
        <v>0</v>
      </c>
      <c r="P126" s="11"/>
      <c r="Q126" s="17"/>
      <c r="R126" s="17"/>
      <c r="S126" s="17"/>
      <c r="T126" s="17"/>
      <c r="U126" s="17"/>
      <c r="V126" s="1"/>
      <c r="W126" s="1" t="s">
        <v>92</v>
      </c>
      <c r="X126" s="1"/>
      <c r="Y126" s="1"/>
      <c r="Z126" s="1"/>
      <c r="AA126" s="1"/>
      <c r="AB126" s="1"/>
      <c r="AC126" s="40">
        <f>ROUND(AC6+AC15-AC125,5)</f>
        <v>71621.47</v>
      </c>
      <c r="AD126" s="89">
        <f>ROUND(AD6+AD15-AD125,5)</f>
        <v>-39057</v>
      </c>
      <c r="AE126" s="20"/>
      <c r="AG126" s="1"/>
      <c r="AH126" s="1"/>
      <c r="AI126" s="1" t="s">
        <v>92</v>
      </c>
      <c r="AJ126" s="1"/>
      <c r="AK126" s="1"/>
      <c r="AL126" s="1"/>
      <c r="AM126" s="1"/>
      <c r="AN126" s="1"/>
      <c r="AO126" s="89">
        <f>ROUND(AO6+AO15-AO125,5)</f>
        <v>59957.08</v>
      </c>
      <c r="AP126" s="40">
        <f>ROUND(AP6+AP15-AP125,5)</f>
        <v>-29322</v>
      </c>
      <c r="AQ126" s="16"/>
      <c r="AS126" s="1"/>
      <c r="AT126" s="1"/>
      <c r="AU126" s="1"/>
      <c r="AV126" s="1"/>
      <c r="AW126" s="1" t="s">
        <v>91</v>
      </c>
      <c r="AX126" s="1"/>
      <c r="AY126" s="1"/>
      <c r="AZ126" s="1"/>
      <c r="BA126" s="89">
        <f>ROUND(BA16+BA65+BA125,5)</f>
        <v>186616.79</v>
      </c>
      <c r="BB126" s="40">
        <f>ROUND(BB16+BB65+BB125,5)</f>
        <v>213300</v>
      </c>
    </row>
    <row r="127" spans="1:54" s="11" customFormat="1" ht="14.85" customHeight="1" thickBot="1" x14ac:dyDescent="0.3">
      <c r="A127" s="37"/>
      <c r="B127" s="13"/>
      <c r="C127" s="13"/>
      <c r="D127" s="13"/>
      <c r="E127" s="13"/>
      <c r="F127" s="13" t="s">
        <v>89</v>
      </c>
      <c r="G127" s="13"/>
      <c r="H127" s="76">
        <f>ROUND(SUM(H123:H126),5)</f>
        <v>3542.16</v>
      </c>
      <c r="I127" s="77">
        <f t="shared" ref="I127:O127" si="70">ROUND(SUM(I123:I126),5)</f>
        <v>1220.53</v>
      </c>
      <c r="J127" s="77">
        <f t="shared" si="70"/>
        <v>4762.6899999999996</v>
      </c>
      <c r="K127" s="77">
        <f t="shared" si="70"/>
        <v>16950</v>
      </c>
      <c r="L127" s="78">
        <f t="shared" si="70"/>
        <v>16102.5</v>
      </c>
      <c r="M127" s="78">
        <f t="shared" si="70"/>
        <v>10463</v>
      </c>
      <c r="N127" s="97">
        <f t="shared" si="70"/>
        <v>11339.81</v>
      </c>
      <c r="O127" s="143">
        <f t="shared" si="70"/>
        <v>-5639.55</v>
      </c>
      <c r="Q127" s="17"/>
      <c r="R127" s="17"/>
      <c r="S127" s="17"/>
      <c r="T127" s="17"/>
      <c r="U127" s="17"/>
      <c r="V127" s="1" t="s">
        <v>127</v>
      </c>
      <c r="W127" s="1"/>
      <c r="X127" s="1"/>
      <c r="Y127" s="1"/>
      <c r="Z127" s="1"/>
      <c r="AA127" s="1"/>
      <c r="AB127" s="1"/>
      <c r="AC127" s="42">
        <f>AC126</f>
        <v>71621.47</v>
      </c>
      <c r="AD127" s="92">
        <f>AD126</f>
        <v>-39057</v>
      </c>
      <c r="AE127" s="21"/>
      <c r="AG127" s="1"/>
      <c r="AH127" s="1" t="s">
        <v>127</v>
      </c>
      <c r="AI127" s="1"/>
      <c r="AJ127" s="1"/>
      <c r="AK127" s="1"/>
      <c r="AL127" s="1"/>
      <c r="AM127" s="1"/>
      <c r="AN127" s="1"/>
      <c r="AO127" s="92">
        <f>AO126</f>
        <v>59957.08</v>
      </c>
      <c r="AP127" s="42">
        <f>AP126</f>
        <v>-29322</v>
      </c>
      <c r="AQ127" s="18"/>
      <c r="AS127" s="1"/>
      <c r="AT127" s="1"/>
      <c r="AU127" s="1" t="s">
        <v>92</v>
      </c>
      <c r="AV127" s="1"/>
      <c r="AW127" s="1"/>
      <c r="AX127" s="1"/>
      <c r="AY127" s="1"/>
      <c r="AZ127" s="1"/>
      <c r="BA127" s="89">
        <f>ROUND(BA6+BA15-BA126,5)</f>
        <v>103462.23</v>
      </c>
      <c r="BB127" s="40">
        <f>ROUND(BB6+BB15-BB126,5)</f>
        <v>0</v>
      </c>
    </row>
    <row r="128" spans="1:54" s="11" customFormat="1" ht="14.85" customHeight="1" thickBot="1" x14ac:dyDescent="0.3">
      <c r="A128" s="37"/>
      <c r="B128" s="34"/>
      <c r="C128" s="34"/>
      <c r="D128" s="34"/>
      <c r="E128" s="34" t="s">
        <v>90</v>
      </c>
      <c r="F128" s="34"/>
      <c r="G128" s="34"/>
      <c r="H128" s="81">
        <f>ROUND(H67+H70+H74+H80+H88+H101+H113+H122+H127,5)</f>
        <v>133721.51</v>
      </c>
      <c r="I128" s="81">
        <f t="shared" ref="I128:O128" si="71">ROUND(I67+I70+I74+I80+I88+I101+I113+I122+I127,5)</f>
        <v>52449.19</v>
      </c>
      <c r="J128" s="81">
        <f t="shared" si="71"/>
        <v>186170.7</v>
      </c>
      <c r="K128" s="81">
        <f t="shared" si="71"/>
        <v>222666</v>
      </c>
      <c r="L128" s="79">
        <f t="shared" si="71"/>
        <v>208112.7</v>
      </c>
      <c r="M128" s="79">
        <f t="shared" si="71"/>
        <v>201136</v>
      </c>
      <c r="N128" s="100">
        <f t="shared" si="71"/>
        <v>21942</v>
      </c>
      <c r="O128" s="144">
        <f t="shared" si="71"/>
        <v>-15176.8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21"/>
      <c r="AD128" s="110"/>
      <c r="AE128" s="21"/>
      <c r="AG128" s="1"/>
      <c r="AH128" s="17"/>
      <c r="AI128" s="17"/>
      <c r="AJ128" s="17"/>
      <c r="AK128" s="17"/>
      <c r="AL128" s="17"/>
      <c r="AM128" s="17"/>
      <c r="AN128" s="17"/>
      <c r="AO128" s="110"/>
      <c r="AP128" s="21"/>
      <c r="AQ128" s="18"/>
      <c r="AS128" s="1"/>
      <c r="AT128" s="1" t="s">
        <v>127</v>
      </c>
      <c r="AU128" s="1"/>
      <c r="AV128" s="1"/>
      <c r="AW128" s="1"/>
      <c r="AX128" s="1"/>
      <c r="AY128" s="1"/>
      <c r="AZ128" s="1"/>
      <c r="BA128" s="92">
        <f>BA127</f>
        <v>103462.23</v>
      </c>
      <c r="BB128" s="42">
        <f>BB127</f>
        <v>0</v>
      </c>
    </row>
    <row r="129" spans="1:54" s="11" customFormat="1" ht="14.85" customHeight="1" thickBot="1" x14ac:dyDescent="0.3">
      <c r="A129" s="37"/>
      <c r="B129" s="12"/>
      <c r="C129" s="12"/>
      <c r="D129" s="12"/>
      <c r="E129" s="12" t="s">
        <v>97</v>
      </c>
      <c r="F129" s="12"/>
      <c r="G129" s="19"/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146">
        <f>K129-I129</f>
        <v>0</v>
      </c>
      <c r="Q129" s="23"/>
      <c r="R129" s="23"/>
      <c r="S129" s="23"/>
      <c r="T129" s="23"/>
      <c r="U129" s="23"/>
      <c r="V129" s="17"/>
      <c r="W129" s="17"/>
      <c r="X129" s="17"/>
      <c r="Y129" s="17"/>
      <c r="Z129" s="17"/>
      <c r="AA129" s="17"/>
      <c r="AB129" s="17"/>
      <c r="AC129" s="21"/>
      <c r="AD129" s="110"/>
      <c r="AE129" s="21"/>
      <c r="AG129" s="1"/>
      <c r="AH129" s="17"/>
      <c r="AI129" s="17"/>
      <c r="AJ129" s="17"/>
      <c r="AK129" s="17"/>
      <c r="AL129" s="17"/>
      <c r="AM129" s="17"/>
      <c r="AN129" s="17"/>
      <c r="AO129" s="110"/>
      <c r="AP129" s="21"/>
      <c r="AQ129" s="18"/>
      <c r="AS129" s="1"/>
      <c r="AT129" s="17"/>
      <c r="AU129" s="17"/>
      <c r="AV129" s="17"/>
      <c r="AW129" s="17"/>
      <c r="AX129" s="17"/>
      <c r="AY129" s="17"/>
      <c r="AZ129" s="17"/>
      <c r="BA129" s="110"/>
      <c r="BB129" s="21"/>
    </row>
    <row r="130" spans="1:54" s="11" customFormat="1" ht="14.85" customHeight="1" thickBot="1" x14ac:dyDescent="0.3">
      <c r="A130" s="37"/>
      <c r="B130" s="14"/>
      <c r="C130" s="14"/>
      <c r="D130" s="14" t="s">
        <v>91</v>
      </c>
      <c r="E130" s="14"/>
      <c r="F130" s="14"/>
      <c r="G130" s="14"/>
      <c r="H130" s="83">
        <f>H66+H128+H129</f>
        <v>582213.31000000006</v>
      </c>
      <c r="I130" s="83">
        <f t="shared" ref="I130:O130" si="72">I66+I128+I129</f>
        <v>207657.02</v>
      </c>
      <c r="J130" s="83">
        <f t="shared" si="72"/>
        <v>789870.33000000007</v>
      </c>
      <c r="K130" s="83">
        <f t="shared" si="72"/>
        <v>891857</v>
      </c>
      <c r="L130" s="83">
        <f t="shared" si="72"/>
        <v>843844.14999999991</v>
      </c>
      <c r="M130" s="83">
        <f t="shared" si="72"/>
        <v>827378</v>
      </c>
      <c r="N130" s="101">
        <f t="shared" si="72"/>
        <v>53973.82</v>
      </c>
      <c r="O130" s="147">
        <f t="shared" si="72"/>
        <v>-25866.25</v>
      </c>
      <c r="Q130" s="23"/>
      <c r="R130" s="23"/>
      <c r="S130" s="23"/>
      <c r="T130" s="23"/>
      <c r="U130" s="23"/>
      <c r="V130" s="17"/>
      <c r="W130" s="17"/>
      <c r="X130" s="17"/>
      <c r="Y130" s="17"/>
      <c r="Z130" s="17"/>
      <c r="AA130" s="17"/>
      <c r="AB130" s="17"/>
      <c r="AC130" s="21"/>
      <c r="AD130" s="110"/>
      <c r="AE130" s="21"/>
      <c r="AG130" s="5"/>
      <c r="AH130" s="17"/>
      <c r="AI130" s="17"/>
      <c r="AJ130" s="17"/>
      <c r="AK130" s="17"/>
      <c r="AL130" s="17"/>
      <c r="AM130" s="17"/>
      <c r="AN130" s="17"/>
      <c r="AO130" s="110"/>
      <c r="AP130" s="21"/>
      <c r="AQ130" s="18"/>
      <c r="AS130" s="5"/>
      <c r="AT130" s="17"/>
      <c r="AU130" s="17"/>
      <c r="AV130" s="17"/>
      <c r="AW130" s="17"/>
      <c r="AX130" s="17"/>
      <c r="AY130" s="17"/>
      <c r="AZ130" s="17"/>
      <c r="BA130" s="110"/>
      <c r="BB130" s="21"/>
    </row>
    <row r="131" spans="1:54" s="11" customFormat="1" ht="14.85" customHeight="1" thickTop="1" x14ac:dyDescent="0.25">
      <c r="A131" s="37"/>
      <c r="B131" s="9" t="s">
        <v>92</v>
      </c>
      <c r="C131" s="9"/>
      <c r="D131" s="9"/>
      <c r="E131" s="9"/>
      <c r="F131" s="9"/>
      <c r="G131" s="9"/>
      <c r="H131" s="84">
        <f t="shared" ref="H131:O131" si="73">H15-H130</f>
        <v>20165.779999999912</v>
      </c>
      <c r="I131" s="84">
        <f t="shared" si="73"/>
        <v>-36496.910000000003</v>
      </c>
      <c r="J131" s="84">
        <f t="shared" si="73"/>
        <v>-16331.130000000121</v>
      </c>
      <c r="K131" s="84">
        <f t="shared" si="73"/>
        <v>-39057</v>
      </c>
      <c r="L131" s="84">
        <f t="shared" si="73"/>
        <v>0</v>
      </c>
      <c r="M131" s="84">
        <f t="shared" si="73"/>
        <v>0</v>
      </c>
      <c r="N131" s="102">
        <f t="shared" si="73"/>
        <v>16331.129999999997</v>
      </c>
      <c r="O131" s="148">
        <f t="shared" si="73"/>
        <v>9400.0999999999985</v>
      </c>
      <c r="Q131" s="17"/>
      <c r="R131" s="17"/>
      <c r="S131" s="17"/>
      <c r="T131" s="17"/>
      <c r="U131" s="10"/>
      <c r="V131" s="17"/>
      <c r="W131" s="17"/>
      <c r="X131" s="17"/>
      <c r="Y131" s="17"/>
      <c r="Z131" s="17"/>
      <c r="AA131" s="17"/>
      <c r="AB131" s="17"/>
      <c r="AC131" s="10"/>
      <c r="AD131" s="111"/>
      <c r="AE131" s="10"/>
      <c r="AG131" s="5"/>
      <c r="AH131" s="17"/>
      <c r="AI131" s="17"/>
      <c r="AJ131" s="17"/>
      <c r="AK131" s="17"/>
      <c r="AL131" s="17"/>
      <c r="AM131" s="17"/>
      <c r="AN131" s="17"/>
      <c r="AO131" s="111"/>
      <c r="AP131" s="10"/>
      <c r="AQ131" s="18"/>
      <c r="AS131" s="5"/>
      <c r="AT131" s="17"/>
      <c r="AU131" s="17"/>
      <c r="AV131" s="17"/>
      <c r="AW131" s="17"/>
      <c r="AX131" s="17"/>
      <c r="AY131" s="17"/>
      <c r="AZ131" s="17"/>
      <c r="BA131" s="111"/>
      <c r="BB131" s="10"/>
    </row>
    <row r="132" spans="1:54" ht="14.85" customHeight="1" x14ac:dyDescent="0.25">
      <c r="A132" s="38"/>
      <c r="B132" s="38"/>
      <c r="C132" s="38"/>
      <c r="D132" s="38"/>
      <c r="E132" s="38"/>
      <c r="F132" s="38"/>
      <c r="G132" s="38"/>
      <c r="H132" s="149"/>
      <c r="I132" s="149"/>
      <c r="J132" s="149"/>
      <c r="K132" s="149"/>
      <c r="L132" s="149"/>
      <c r="M132" s="149"/>
      <c r="N132" s="68"/>
      <c r="O132" s="64"/>
      <c r="P132" s="11"/>
      <c r="Q132" s="16"/>
      <c r="R132" s="16"/>
      <c r="S132" s="16"/>
      <c r="T132" s="16"/>
      <c r="U132" s="16"/>
      <c r="V132" s="16"/>
      <c r="W132" s="23"/>
      <c r="X132" s="23"/>
      <c r="Y132" s="23"/>
      <c r="Z132" s="28"/>
      <c r="AA132" s="29"/>
      <c r="AB132" s="16"/>
      <c r="AC132" s="16"/>
      <c r="AD132" s="18"/>
      <c r="AE132" s="16"/>
      <c r="AH132" s="23"/>
      <c r="AI132" s="23"/>
      <c r="AJ132" s="23"/>
      <c r="AK132" s="23"/>
      <c r="AL132" s="23"/>
      <c r="AM132" s="23"/>
      <c r="AN132" s="23"/>
      <c r="AO132" s="30"/>
      <c r="AP132" s="30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</row>
    <row r="133" spans="1:54" ht="14.85" customHeight="1" x14ac:dyDescent="0.25">
      <c r="A133" s="38"/>
      <c r="D133" s="5" t="s">
        <v>93</v>
      </c>
      <c r="H133" s="85">
        <f>H63</f>
        <v>0</v>
      </c>
      <c r="I133" s="85">
        <f>I63</f>
        <v>0</v>
      </c>
      <c r="J133" s="150"/>
      <c r="K133" s="151"/>
      <c r="L133" s="151"/>
      <c r="M133" s="151"/>
      <c r="N133" s="15"/>
      <c r="O133" s="63"/>
      <c r="P133" s="11"/>
      <c r="Q133" s="16"/>
      <c r="R133" s="16"/>
      <c r="S133" s="16"/>
      <c r="T133" s="16"/>
      <c r="U133" s="16"/>
      <c r="V133" s="16"/>
      <c r="W133" s="23"/>
      <c r="X133" s="23"/>
      <c r="Y133" s="23"/>
      <c r="Z133" s="28"/>
      <c r="AA133" s="29"/>
      <c r="AB133" s="16"/>
      <c r="AC133" s="16"/>
      <c r="AD133" s="16"/>
      <c r="AE133" s="16"/>
      <c r="AH133" s="23"/>
      <c r="AI133" s="23"/>
      <c r="AJ133" s="23"/>
      <c r="AK133" s="23"/>
      <c r="AL133" s="23"/>
      <c r="AM133" s="23"/>
      <c r="AN133" s="23"/>
      <c r="AO133" s="30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</row>
    <row r="134" spans="1:54" ht="14.85" customHeight="1" thickBot="1" x14ac:dyDescent="0.3">
      <c r="A134" s="38"/>
      <c r="E134" s="5" t="s">
        <v>104</v>
      </c>
      <c r="H134" s="86">
        <f>H131+H133</f>
        <v>20165.779999999912</v>
      </c>
      <c r="I134" s="86">
        <f>I131+I133</f>
        <v>-36496.910000000003</v>
      </c>
      <c r="J134" s="150"/>
      <c r="K134" s="151"/>
      <c r="L134" s="151"/>
      <c r="M134" s="151"/>
      <c r="N134" s="15"/>
      <c r="O134" s="64"/>
      <c r="P134" s="11"/>
      <c r="Q134" s="16"/>
      <c r="R134" s="16"/>
      <c r="S134" s="16"/>
      <c r="T134" s="16"/>
      <c r="U134" s="16"/>
      <c r="V134" s="16"/>
      <c r="W134" s="23"/>
      <c r="X134" s="23"/>
      <c r="Y134" s="23"/>
      <c r="Z134" s="28"/>
      <c r="AA134" s="29"/>
      <c r="AB134" s="16"/>
      <c r="AC134" s="16"/>
      <c r="AD134" s="16"/>
      <c r="AE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</row>
    <row r="135" spans="1:54" ht="14.45" customHeight="1" thickTop="1" x14ac:dyDescent="0.25">
      <c r="H135" s="8"/>
      <c r="I135" s="8"/>
      <c r="J135" s="8"/>
      <c r="K135" s="27"/>
      <c r="L135" s="27"/>
      <c r="M135" s="27"/>
      <c r="N135" s="27"/>
      <c r="O135" s="65"/>
      <c r="Q135" s="16"/>
      <c r="R135" s="16"/>
      <c r="S135" s="16"/>
      <c r="T135" s="16"/>
      <c r="U135" s="16"/>
      <c r="V135" s="16"/>
      <c r="W135" s="23"/>
      <c r="X135" s="23"/>
      <c r="Y135" s="23"/>
      <c r="Z135" s="28"/>
      <c r="AA135" s="29"/>
      <c r="AB135" s="16"/>
      <c r="AC135" s="16"/>
      <c r="AD135" s="16"/>
      <c r="AE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</row>
    <row r="136" spans="1:54" ht="14.45" customHeight="1" x14ac:dyDescent="0.25">
      <c r="H136" s="8"/>
      <c r="I136" s="8"/>
      <c r="J136" s="8"/>
      <c r="K136" s="27"/>
      <c r="L136" s="27"/>
      <c r="M136" s="27"/>
      <c r="N136" s="27"/>
      <c r="O136" s="65"/>
      <c r="Q136" s="16"/>
      <c r="R136" s="16"/>
      <c r="S136" s="16"/>
      <c r="T136" s="16"/>
      <c r="U136" s="16"/>
      <c r="V136" s="16"/>
      <c r="W136" s="23"/>
      <c r="X136" s="23"/>
      <c r="Y136" s="23"/>
      <c r="Z136" s="28"/>
      <c r="AA136" s="29"/>
      <c r="AB136" s="16"/>
      <c r="AC136" s="16"/>
      <c r="AD136" s="16"/>
      <c r="AE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</row>
    <row r="137" spans="1:54" ht="14.45" customHeight="1" x14ac:dyDescent="0.25">
      <c r="H137" s="8"/>
      <c r="I137" s="8"/>
      <c r="J137" s="8"/>
      <c r="K137" s="27"/>
      <c r="L137" s="27"/>
      <c r="M137" s="27"/>
      <c r="N137" s="27"/>
      <c r="Q137" s="16"/>
      <c r="R137" s="16"/>
      <c r="S137" s="16"/>
      <c r="T137" s="16"/>
      <c r="U137" s="16"/>
      <c r="V137" s="16"/>
      <c r="W137" s="23"/>
      <c r="X137" s="23"/>
      <c r="Y137" s="23"/>
      <c r="Z137" s="28"/>
      <c r="AA137" s="29"/>
      <c r="AB137" s="16"/>
      <c r="AC137" s="16"/>
      <c r="AD137" s="16"/>
      <c r="AE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</row>
    <row r="138" spans="1:54" ht="14.45" customHeight="1" x14ac:dyDescent="0.25">
      <c r="E138" s="31"/>
      <c r="G138" s="24"/>
      <c r="H138" s="27"/>
      <c r="I138" s="27"/>
      <c r="Q138" s="16"/>
      <c r="R138" s="16"/>
      <c r="S138" s="16"/>
      <c r="T138" s="16"/>
      <c r="U138" s="16"/>
      <c r="V138" s="16"/>
      <c r="W138" s="23"/>
      <c r="X138" s="23"/>
      <c r="Y138" s="23"/>
      <c r="Z138" s="28"/>
      <c r="AA138" s="29"/>
      <c r="AB138" s="16"/>
      <c r="AC138" s="16"/>
      <c r="AD138" s="16"/>
      <c r="AE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</row>
    <row r="139" spans="1:54" ht="14.45" customHeight="1" x14ac:dyDescent="0.25">
      <c r="H139" s="27"/>
      <c r="I139" s="27"/>
      <c r="Q139" s="16"/>
      <c r="R139" s="16"/>
      <c r="S139" s="16"/>
      <c r="T139" s="16"/>
      <c r="U139" s="16"/>
      <c r="V139" s="16"/>
      <c r="W139" s="23"/>
      <c r="X139" s="23"/>
      <c r="Y139" s="23"/>
      <c r="Z139" s="28"/>
      <c r="AA139" s="29"/>
      <c r="AB139" s="16"/>
      <c r="AC139" s="16"/>
      <c r="AD139" s="16"/>
      <c r="AE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</row>
    <row r="140" spans="1:54" ht="14.45" customHeight="1" x14ac:dyDescent="0.25">
      <c r="H140" s="27"/>
      <c r="I140" s="27"/>
      <c r="Q140" s="16"/>
      <c r="R140" s="16"/>
      <c r="S140" s="16"/>
      <c r="T140" s="16"/>
      <c r="U140" s="16"/>
      <c r="V140" s="16"/>
      <c r="W140" s="23"/>
      <c r="X140" s="23"/>
      <c r="Y140" s="23"/>
      <c r="Z140" s="28"/>
      <c r="AA140" s="29"/>
      <c r="AB140" s="16"/>
      <c r="AC140" s="16"/>
      <c r="AD140" s="16"/>
      <c r="AE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</row>
    <row r="141" spans="1:54" ht="14.45" customHeight="1" x14ac:dyDescent="0.25">
      <c r="Q141" s="16"/>
      <c r="R141" s="16"/>
      <c r="S141" s="16"/>
      <c r="T141" s="16"/>
      <c r="U141" s="16"/>
      <c r="V141" s="16"/>
      <c r="W141" s="23"/>
      <c r="X141" s="23"/>
      <c r="Y141" s="23"/>
      <c r="Z141" s="28"/>
      <c r="AA141" s="29"/>
      <c r="AB141" s="16"/>
      <c r="AC141" s="16"/>
      <c r="AD141" s="16"/>
      <c r="AE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</row>
    <row r="142" spans="1:54" ht="14.45" customHeight="1" x14ac:dyDescent="0.25">
      <c r="E142" s="33"/>
      <c r="Q142" s="16"/>
      <c r="R142" s="16"/>
      <c r="S142" s="16"/>
      <c r="T142" s="16"/>
      <c r="U142" s="16"/>
      <c r="V142" s="16"/>
      <c r="W142" s="23"/>
      <c r="X142" s="23"/>
      <c r="Y142" s="23"/>
      <c r="Z142" s="28"/>
      <c r="AA142" s="29"/>
      <c r="AB142" s="16"/>
      <c r="AC142" s="16"/>
      <c r="AD142" s="16"/>
      <c r="AE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</row>
    <row r="143" spans="1:54" ht="14.45" customHeight="1" x14ac:dyDescent="0.25">
      <c r="H143" s="44"/>
      <c r="I143" s="44"/>
      <c r="J143" s="44"/>
      <c r="K143" s="44"/>
      <c r="L143" s="44"/>
      <c r="M143" s="44"/>
      <c r="N143" s="44"/>
      <c r="O143" s="45"/>
      <c r="P143" s="45"/>
      <c r="Q143" s="46"/>
      <c r="R143" s="46"/>
      <c r="S143" s="16"/>
      <c r="T143" s="16"/>
      <c r="U143" s="16"/>
      <c r="V143" s="16"/>
      <c r="W143" s="23"/>
      <c r="X143" s="23"/>
      <c r="Y143" s="23"/>
      <c r="Z143" s="28"/>
      <c r="AA143" s="29"/>
      <c r="AB143" s="16"/>
      <c r="AC143" s="16"/>
      <c r="AD143" s="16"/>
      <c r="AE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</row>
    <row r="144" spans="1:54" ht="14.45" customHeight="1" x14ac:dyDescent="0.25">
      <c r="G144" s="32"/>
      <c r="H144" s="47"/>
      <c r="I144" s="47"/>
      <c r="J144" s="47"/>
      <c r="K144" s="48"/>
      <c r="L144" s="48"/>
      <c r="M144" s="48"/>
      <c r="N144" s="48"/>
      <c r="O144" s="47"/>
      <c r="P144" s="47"/>
      <c r="Q144" s="47"/>
      <c r="R144" s="47"/>
      <c r="U144" s="16"/>
      <c r="V144" s="16"/>
      <c r="W144" s="23"/>
      <c r="X144" s="23"/>
      <c r="Y144" s="23"/>
      <c r="Z144" s="28"/>
      <c r="AA144" s="29"/>
      <c r="AB144" s="16"/>
      <c r="AC144" s="16"/>
      <c r="AD144" s="16"/>
      <c r="AE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</row>
    <row r="145" spans="6:43" ht="14.45" customHeight="1" x14ac:dyDescent="0.25">
      <c r="G145" s="32"/>
      <c r="H145" s="55"/>
      <c r="I145" s="55"/>
      <c r="J145" s="55"/>
      <c r="K145" s="56"/>
      <c r="L145" s="56"/>
      <c r="M145" s="56"/>
      <c r="N145" s="56"/>
      <c r="O145" s="55"/>
      <c r="P145" s="55"/>
      <c r="Q145" s="57"/>
      <c r="R145" s="58"/>
      <c r="S145" s="16"/>
      <c r="T145" s="16"/>
      <c r="U145" s="16"/>
      <c r="V145" s="16"/>
      <c r="W145" s="23"/>
      <c r="X145" s="23"/>
      <c r="Y145" s="23"/>
      <c r="Z145" s="28"/>
      <c r="AA145" s="29"/>
      <c r="AB145" s="16"/>
      <c r="AC145" s="16"/>
      <c r="AD145" s="16"/>
      <c r="AE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</row>
    <row r="146" spans="6:43" ht="14.45" customHeight="1" x14ac:dyDescent="0.25">
      <c r="G146" s="32"/>
      <c r="H146" s="59"/>
      <c r="I146" s="59"/>
      <c r="J146" s="59"/>
      <c r="K146" s="59"/>
      <c r="L146" s="59"/>
      <c r="M146" s="59"/>
      <c r="N146" s="59"/>
      <c r="O146" s="53"/>
      <c r="P146" s="54"/>
      <c r="Q146" s="57"/>
      <c r="R146" s="57"/>
      <c r="S146" s="16"/>
      <c r="T146" s="16"/>
      <c r="U146" s="16"/>
      <c r="V146" s="16"/>
      <c r="W146" s="23"/>
      <c r="X146" s="23"/>
      <c r="Y146" s="23"/>
      <c r="Z146" s="28"/>
      <c r="AA146" s="29"/>
      <c r="AB146" s="16"/>
      <c r="AC146" s="16"/>
      <c r="AD146" s="16"/>
      <c r="AE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</row>
    <row r="147" spans="6:43" ht="14.45" customHeight="1" x14ac:dyDescent="0.25">
      <c r="G147" s="32"/>
      <c r="H147" s="30"/>
      <c r="I147" s="30"/>
      <c r="J147" s="30"/>
      <c r="K147" s="30"/>
      <c r="L147" s="30"/>
      <c r="M147" s="30"/>
      <c r="N147" s="30"/>
      <c r="O147" s="16"/>
      <c r="P147" s="16"/>
      <c r="Q147" s="16"/>
      <c r="R147" s="16"/>
      <c r="S147" s="16"/>
      <c r="T147" s="16"/>
      <c r="U147" s="16"/>
      <c r="V147" s="16"/>
      <c r="W147" s="23"/>
      <c r="X147" s="23"/>
      <c r="Y147" s="23"/>
      <c r="Z147" s="28"/>
      <c r="AA147" s="29"/>
      <c r="AB147" s="16"/>
      <c r="AC147" s="16"/>
      <c r="AD147" s="16"/>
      <c r="AE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</row>
    <row r="148" spans="6:43" ht="14.45" customHeight="1" x14ac:dyDescent="0.25">
      <c r="G148" s="32"/>
      <c r="H148" s="30"/>
      <c r="I148" s="30"/>
      <c r="J148" s="30"/>
      <c r="K148" s="30"/>
      <c r="L148" s="30"/>
      <c r="M148" s="30"/>
      <c r="N148" s="30"/>
      <c r="O148" s="16"/>
      <c r="P148" s="16"/>
      <c r="Q148" s="16"/>
      <c r="R148" s="16"/>
      <c r="S148" s="16"/>
      <c r="T148" s="16"/>
      <c r="U148" s="16"/>
      <c r="V148" s="16"/>
      <c r="W148" s="23"/>
      <c r="X148" s="23"/>
      <c r="Y148" s="23"/>
      <c r="Z148" s="28"/>
      <c r="AA148" s="29"/>
      <c r="AB148" s="16"/>
      <c r="AC148" s="16"/>
      <c r="AD148" s="16"/>
      <c r="AE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</row>
    <row r="149" spans="6:43" ht="14.45" customHeight="1" x14ac:dyDescent="0.25">
      <c r="G149" s="32"/>
      <c r="U149" s="16"/>
      <c r="V149" s="16"/>
      <c r="W149" s="23"/>
      <c r="X149" s="23"/>
      <c r="Y149" s="23"/>
      <c r="Z149" s="30"/>
      <c r="AA149" s="16"/>
      <c r="AB149" s="16"/>
      <c r="AC149" s="16"/>
      <c r="AD149" s="16"/>
      <c r="AE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</row>
    <row r="150" spans="6:43" ht="14.45" customHeight="1" x14ac:dyDescent="0.25">
      <c r="U150" s="16"/>
      <c r="V150" s="16"/>
      <c r="W150" s="23"/>
      <c r="X150" s="23"/>
      <c r="Y150" s="23"/>
      <c r="Z150" s="30"/>
      <c r="AA150" s="16"/>
      <c r="AB150" s="16"/>
      <c r="AC150" s="16"/>
      <c r="AD150" s="16"/>
      <c r="AE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</row>
    <row r="151" spans="6:43" ht="14.45" customHeight="1" x14ac:dyDescent="0.25">
      <c r="G151" s="32"/>
      <c r="U151" s="16"/>
      <c r="V151" s="16"/>
      <c r="W151" s="23"/>
      <c r="X151" s="23"/>
      <c r="Y151" s="23"/>
      <c r="Z151" s="30"/>
      <c r="AA151" s="16"/>
      <c r="AB151" s="16"/>
      <c r="AC151" s="16"/>
      <c r="AD151" s="16"/>
      <c r="AE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</row>
    <row r="152" spans="6:43" x14ac:dyDescent="0.25">
      <c r="U152" s="16"/>
      <c r="V152" s="16"/>
      <c r="W152" s="23"/>
      <c r="X152" s="23"/>
      <c r="Y152" s="23"/>
      <c r="Z152" s="30"/>
      <c r="AA152" s="16"/>
      <c r="AB152" s="16"/>
      <c r="AC152" s="16"/>
      <c r="AD152" s="16"/>
      <c r="AE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</row>
    <row r="153" spans="6:43" x14ac:dyDescent="0.25">
      <c r="U153" s="16"/>
      <c r="V153" s="16"/>
      <c r="W153" s="23"/>
      <c r="X153" s="23"/>
      <c r="Y153" s="23"/>
      <c r="Z153" s="30"/>
      <c r="AA153" s="16"/>
      <c r="AB153" s="16"/>
      <c r="AC153" s="16"/>
      <c r="AD153" s="16"/>
      <c r="AE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</row>
    <row r="154" spans="6:43" x14ac:dyDescent="0.25"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</row>
    <row r="155" spans="6:43" x14ac:dyDescent="0.25"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</row>
    <row r="156" spans="6:43" x14ac:dyDescent="0.25"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</row>
    <row r="157" spans="6:43" x14ac:dyDescent="0.25">
      <c r="F157" s="3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</row>
    <row r="158" spans="6:43" x14ac:dyDescent="0.25">
      <c r="U158" s="16"/>
      <c r="V158" s="16"/>
      <c r="W158" s="16"/>
      <c r="X158" s="16"/>
      <c r="Y158" s="16"/>
      <c r="Z158" s="16"/>
      <c r="AA158" s="16"/>
      <c r="AB158" s="16"/>
      <c r="AC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</row>
    <row r="159" spans="6:43" x14ac:dyDescent="0.25">
      <c r="U159" s="16"/>
      <c r="V159" s="16"/>
      <c r="W159" s="16"/>
      <c r="X159" s="16"/>
      <c r="Y159" s="16"/>
      <c r="Z159" s="16"/>
      <c r="AA159" s="16"/>
      <c r="AB159" s="16"/>
      <c r="AC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</row>
    <row r="160" spans="6:43" x14ac:dyDescent="0.25">
      <c r="U160" s="16"/>
      <c r="V160" s="16"/>
      <c r="W160" s="16"/>
      <c r="X160" s="16"/>
      <c r="Y160" s="16"/>
      <c r="Z160" s="16"/>
      <c r="AA160" s="16"/>
      <c r="AB160" s="16"/>
      <c r="AC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</row>
    <row r="161" spans="21:43" x14ac:dyDescent="0.25">
      <c r="U161" s="16"/>
      <c r="V161" s="16"/>
      <c r="W161" s="16"/>
      <c r="X161" s="16"/>
      <c r="Y161" s="16"/>
      <c r="Z161" s="16"/>
      <c r="AA161" s="16"/>
      <c r="AB161" s="16"/>
      <c r="AC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</row>
    <row r="162" spans="21:43" x14ac:dyDescent="0.25">
      <c r="U162" s="16"/>
      <c r="V162" s="16"/>
      <c r="W162" s="16"/>
      <c r="X162" s="16"/>
      <c r="Y162" s="16"/>
      <c r="Z162" s="16"/>
      <c r="AA162" s="16"/>
      <c r="AB162" s="16"/>
      <c r="AC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</row>
    <row r="163" spans="21:43" x14ac:dyDescent="0.25">
      <c r="U163" s="16"/>
      <c r="V163" s="16"/>
      <c r="W163" s="16"/>
      <c r="X163" s="16"/>
      <c r="Y163" s="16"/>
      <c r="Z163" s="16"/>
      <c r="AA163" s="16"/>
      <c r="AB163" s="16"/>
      <c r="AC163" s="16"/>
      <c r="AH163" s="16"/>
      <c r="AI163" s="16"/>
      <c r="AJ163" s="16"/>
      <c r="AK163" s="16"/>
      <c r="AL163" s="16"/>
      <c r="AM163" s="16"/>
      <c r="AN163" s="16"/>
      <c r="AO163" s="16"/>
      <c r="AP163" s="16"/>
    </row>
    <row r="164" spans="21:43" x14ac:dyDescent="0.25">
      <c r="U164" s="16"/>
      <c r="V164" s="16"/>
      <c r="W164" s="16"/>
      <c r="X164" s="16"/>
      <c r="Y164" s="16"/>
      <c r="Z164" s="16"/>
      <c r="AA164" s="16"/>
      <c r="AB164" s="16"/>
      <c r="AC164" s="16"/>
      <c r="AH164" s="16"/>
      <c r="AI164" s="16"/>
      <c r="AJ164" s="16"/>
      <c r="AK164" s="16"/>
      <c r="AL164" s="16"/>
      <c r="AM164" s="16"/>
      <c r="AN164" s="16"/>
      <c r="AO164" s="16"/>
      <c r="AP164" s="16"/>
    </row>
    <row r="165" spans="21:43" x14ac:dyDescent="0.25">
      <c r="U165" s="16"/>
      <c r="V165" s="16"/>
      <c r="W165" s="16"/>
      <c r="X165" s="16"/>
      <c r="Y165" s="16"/>
      <c r="Z165" s="16"/>
      <c r="AA165" s="16"/>
      <c r="AB165" s="16"/>
      <c r="AC165" s="16"/>
      <c r="AH165" s="16"/>
      <c r="AI165" s="16"/>
      <c r="AJ165" s="16"/>
      <c r="AK165" s="16"/>
      <c r="AL165" s="16"/>
      <c r="AM165" s="16"/>
      <c r="AN165" s="16"/>
      <c r="AO165" s="16"/>
      <c r="AP165" s="16"/>
    </row>
    <row r="166" spans="21:43" x14ac:dyDescent="0.25">
      <c r="U166" s="16"/>
      <c r="V166" s="16"/>
      <c r="W166" s="16"/>
      <c r="X166" s="16"/>
      <c r="Y166" s="16"/>
      <c r="Z166" s="16"/>
      <c r="AA166" s="16"/>
      <c r="AB166" s="16"/>
      <c r="AC166" s="16"/>
    </row>
    <row r="167" spans="21:43" x14ac:dyDescent="0.25">
      <c r="U167" s="16"/>
    </row>
    <row r="168" spans="21:43" x14ac:dyDescent="0.25">
      <c r="U168" s="16"/>
    </row>
    <row r="169" spans="21:43" x14ac:dyDescent="0.25">
      <c r="U169" s="16"/>
    </row>
  </sheetData>
  <mergeCells count="1">
    <mergeCell ref="H7:O7"/>
  </mergeCells>
  <printOptions horizontalCentered="1"/>
  <pageMargins left="0" right="0" top="0.75" bottom="0" header="0.2" footer="0.3"/>
  <pageSetup scale="89" fitToHeight="0" orientation="portrait" r:id="rId1"/>
  <headerFooter>
    <oddHeader xml:space="preserve">&amp;C&amp;"Arial,Bold"&amp;13 McKnight Crossings Church of Christ&amp;12
&amp;14  Budget Planning 2023
</oddHeader>
  </headerFooter>
  <rowBreaks count="2" manualBreakCount="2">
    <brk id="50" max="14" man="1"/>
    <brk id="10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Summary</vt:lpstr>
      <vt:lpstr>2023-Elders</vt:lpstr>
      <vt:lpstr>2023-Payroll</vt:lpstr>
      <vt:lpstr>2023-Worksheet</vt:lpstr>
      <vt:lpstr>'2023-Elders'!Print_Area</vt:lpstr>
      <vt:lpstr>'2023-Payroll'!Print_Area</vt:lpstr>
      <vt:lpstr>'2023-Worksheet'!Print_Area</vt:lpstr>
      <vt:lpstr>'2023-Elders'!Print_Titles</vt:lpstr>
      <vt:lpstr>'2023-Payroll'!Print_Titles</vt:lpstr>
      <vt:lpstr>'2023-Worksheet'!Print_Titles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 Britzmann</dc:creator>
  <cp:lastModifiedBy>Blackford, M. Bret</cp:lastModifiedBy>
  <cp:lastPrinted>2023-01-08T22:45:31Z</cp:lastPrinted>
  <dcterms:created xsi:type="dcterms:W3CDTF">2014-09-05T18:36:36Z</dcterms:created>
  <dcterms:modified xsi:type="dcterms:W3CDTF">2023-01-13T18:07:09Z</dcterms:modified>
</cp:coreProperties>
</file>